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11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12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13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14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15.xml" ContentType="application/vnd.openxmlformats-officedocument.drawing+xml"/>
  <Override PartName="/xl/charts/chart20.xml" ContentType="application/vnd.openxmlformats-officedocument.drawingml.chart+xml"/>
  <Override PartName="/xl/theme/themeOverride1.xml" ContentType="application/vnd.openxmlformats-officedocument.themeOverride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21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22.xml" ContentType="application/vnd.openxmlformats-officedocument.drawingml.chart+xml"/>
  <Override PartName="/xl/theme/themeOverride3.xml" ContentType="application/vnd.openxmlformats-officedocument.themeOverride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23.xml" ContentType="application/vnd.openxmlformats-officedocument.drawingml.chart+xml"/>
  <Override PartName="/xl/theme/themeOverride4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24.xml" ContentType="application/vnd.openxmlformats-officedocument.drawingml.chart+xml"/>
  <Override PartName="/xl/theme/themeOverride5.xml" ContentType="application/vnd.openxmlformats-officedocument.themeOverride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4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PROJEKTI\TUS\2021\PUBLIKACIJA\V06 - FINAL\"/>
    </mc:Choice>
  </mc:AlternateContent>
  <bookViews>
    <workbookView xWindow="1560" yWindow="0" windowWidth="11760" windowHeight="15600" tabRatio="1000"/>
  </bookViews>
  <sheets>
    <sheet name="ПОЧЕТНА СТРАНА" sheetId="91" r:id="rId1"/>
    <sheet name="САДРЖАЈ" sheetId="92" r:id="rId2"/>
    <sheet name="Таб А" sheetId="55" r:id="rId3"/>
    <sheet name="Таб Б" sheetId="56" r:id="rId4"/>
    <sheet name="Таб В" sheetId="57" r:id="rId5"/>
    <sheet name="Граф А" sheetId="58" r:id="rId6"/>
    <sheet name="Граф 1" sheetId="1" r:id="rId7"/>
    <sheet name="Таб 1" sheetId="59" r:id="rId8"/>
    <sheet name="Таб 2" sheetId="60" r:id="rId9"/>
    <sheet name="Таб 3" sheetId="61" r:id="rId10"/>
    <sheet name="Граф 2" sheetId="4" r:id="rId11"/>
    <sheet name="Таб 4" sheetId="62" r:id="rId12"/>
    <sheet name="Граф 3" sheetId="6" r:id="rId13"/>
    <sheet name="Таб 5" sheetId="63" r:id="rId14"/>
    <sheet name="Граф 4" sheetId="8" r:id="rId15"/>
    <sheet name="Таб 6" sheetId="9" r:id="rId16"/>
    <sheet name="Граф 5" sheetId="10" r:id="rId17"/>
    <sheet name="Таб 7" sheetId="11" r:id="rId18"/>
    <sheet name="Граф 6" sheetId="90" r:id="rId19"/>
    <sheet name="Темпогр 1" sheetId="14" r:id="rId20"/>
    <sheet name="Граф 7" sheetId="15" r:id="rId21"/>
    <sheet name="Граф 8" sheetId="16" r:id="rId22"/>
    <sheet name="Граф 9 " sheetId="79" r:id="rId23"/>
    <sheet name="Граф 10" sheetId="21" r:id="rId24"/>
    <sheet name="Граф 11" sheetId="85" r:id="rId25"/>
    <sheet name="Граф 12" sheetId="86" r:id="rId26"/>
    <sheet name="Граф 13" sheetId="87" r:id="rId27"/>
    <sheet name="Граф 14" sheetId="88" r:id="rId28"/>
    <sheet name="Граф 15" sheetId="89" r:id="rId29"/>
    <sheet name="Граф 16" sheetId="20" r:id="rId30"/>
    <sheet name="Таб 8" sheetId="13" r:id="rId31"/>
    <sheet name="Граф 17" sheetId="23" r:id="rId32"/>
    <sheet name="Граф 18" sheetId="24" r:id="rId33"/>
    <sheet name="Граф 19 0-6" sheetId="48" r:id="rId34"/>
    <sheet name="Граф 20 0-17" sheetId="69" r:id="rId35"/>
    <sheet name="Граф 21" sheetId="32" r:id="rId36"/>
    <sheet name="Граф 22" sheetId="33" r:id="rId37"/>
    <sheet name="Граф 23" sheetId="34" r:id="rId38"/>
    <sheet name="Граф 24" sheetId="49" r:id="rId39"/>
    <sheet name="Граф 25" sheetId="29" r:id="rId40"/>
    <sheet name="Граф 26" sheetId="70" r:id="rId41"/>
    <sheet name="Граф 27" sheetId="31" r:id="rId42"/>
    <sheet name="Граф 28 пол" sheetId="44" r:id="rId43"/>
    <sheet name="Граф 29 старост" sheetId="71" r:id="rId44"/>
    <sheet name="Граф 30" sheetId="51" r:id="rId45"/>
    <sheet name="Граф 31" sheetId="50" r:id="rId46"/>
    <sheet name="Граф 32" sheetId="52" r:id="rId47"/>
    <sheet name="Граф 33" sheetId="72" r:id="rId48"/>
    <sheet name="Таб 9" sheetId="53" r:id="rId49"/>
    <sheet name="Tabele P.1 do P.3" sheetId="94" state="hidden" r:id="rId50"/>
    <sheet name="Таб П.1." sheetId="97" r:id="rId51"/>
    <sheet name="Таб П.2." sheetId="98" r:id="rId52"/>
    <sheet name="Таб П.3." sheetId="99" r:id="rId53"/>
    <sheet name="Публикације" sheetId="96" r:id="rId54"/>
  </sheets>
  <definedNames>
    <definedName name="_xlnm._FilterDatabase" localSheetId="22" hidden="1">'Граф 9 '!$I$6:$I$39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" i="16" l="1"/>
  <c r="F6" i="16"/>
  <c r="D6" i="16"/>
  <c r="B6" i="16"/>
  <c r="F6" i="15" l="1"/>
  <c r="D6" i="15"/>
  <c r="B6" i="15"/>
  <c r="I52" i="99" l="1"/>
  <c r="H52" i="99"/>
  <c r="G52" i="99"/>
  <c r="E52" i="99"/>
  <c r="D52" i="99"/>
  <c r="C52" i="99"/>
  <c r="I51" i="99"/>
  <c r="H51" i="99"/>
  <c r="G51" i="99"/>
  <c r="E51" i="99"/>
  <c r="D51" i="99"/>
  <c r="C51" i="99"/>
  <c r="I50" i="99"/>
  <c r="H50" i="99"/>
  <c r="G50" i="99"/>
  <c r="E50" i="99"/>
  <c r="D50" i="99"/>
  <c r="C50" i="99"/>
  <c r="I49" i="99"/>
  <c r="H49" i="99"/>
  <c r="G49" i="99"/>
  <c r="E49" i="99"/>
  <c r="D49" i="99"/>
  <c r="C49" i="99"/>
  <c r="I48" i="99"/>
  <c r="H48" i="99"/>
  <c r="G48" i="99"/>
  <c r="E48" i="99"/>
  <c r="D48" i="99"/>
  <c r="C48" i="99"/>
  <c r="I47" i="99"/>
  <c r="H47" i="99"/>
  <c r="G47" i="99"/>
  <c r="E47" i="99"/>
  <c r="D47" i="99"/>
  <c r="C47" i="99"/>
  <c r="I46" i="99"/>
  <c r="H46" i="99"/>
  <c r="G46" i="99"/>
  <c r="E46" i="99"/>
  <c r="D46" i="99"/>
  <c r="C46" i="99"/>
  <c r="I45" i="99"/>
  <c r="H45" i="99"/>
  <c r="G45" i="99"/>
  <c r="E45" i="99"/>
  <c r="D45" i="99"/>
  <c r="C45" i="99"/>
  <c r="I44" i="99"/>
  <c r="H44" i="99"/>
  <c r="G44" i="99"/>
  <c r="E44" i="99"/>
  <c r="D44" i="99"/>
  <c r="C44" i="99"/>
  <c r="I43" i="99"/>
  <c r="H43" i="99"/>
  <c r="G43" i="99"/>
  <c r="E43" i="99"/>
  <c r="D43" i="99"/>
  <c r="C43" i="99"/>
  <c r="I42" i="99"/>
  <c r="H42" i="99"/>
  <c r="G42" i="99"/>
  <c r="E42" i="99"/>
  <c r="D42" i="99"/>
  <c r="C42" i="99"/>
  <c r="I41" i="99"/>
  <c r="H41" i="99"/>
  <c r="G41" i="99"/>
  <c r="E41" i="99"/>
  <c r="D41" i="99"/>
  <c r="C41" i="99"/>
  <c r="I40" i="99"/>
  <c r="H40" i="99"/>
  <c r="G40" i="99"/>
  <c r="E40" i="99"/>
  <c r="D40" i="99"/>
  <c r="C40" i="99"/>
  <c r="I39" i="99"/>
  <c r="H39" i="99"/>
  <c r="G39" i="99"/>
  <c r="E39" i="99"/>
  <c r="D39" i="99"/>
  <c r="C39" i="99"/>
  <c r="I38" i="99"/>
  <c r="H38" i="99"/>
  <c r="G38" i="99"/>
  <c r="E38" i="99"/>
  <c r="D38" i="99"/>
  <c r="C38" i="99"/>
  <c r="I37" i="99"/>
  <c r="H37" i="99"/>
  <c r="G37" i="99"/>
  <c r="E37" i="99"/>
  <c r="D37" i="99"/>
  <c r="C37" i="99"/>
  <c r="I36" i="99"/>
  <c r="H36" i="99"/>
  <c r="G36" i="99"/>
  <c r="E36" i="99"/>
  <c r="D36" i="99"/>
  <c r="C36" i="99"/>
  <c r="I35" i="99"/>
  <c r="H35" i="99"/>
  <c r="G35" i="99"/>
  <c r="E35" i="99"/>
  <c r="D35" i="99"/>
  <c r="C35" i="99"/>
  <c r="I34" i="99"/>
  <c r="H34" i="99"/>
  <c r="G34" i="99"/>
  <c r="E34" i="99"/>
  <c r="D34" i="99"/>
  <c r="C34" i="99"/>
  <c r="I33" i="99"/>
  <c r="H33" i="99"/>
  <c r="G33" i="99"/>
  <c r="E33" i="99"/>
  <c r="D33" i="99"/>
  <c r="C33" i="99"/>
  <c r="I32" i="99"/>
  <c r="H32" i="99"/>
  <c r="G32" i="99"/>
  <c r="E32" i="99"/>
  <c r="D32" i="99"/>
  <c r="C32" i="99"/>
  <c r="I31" i="99"/>
  <c r="H31" i="99"/>
  <c r="G31" i="99"/>
  <c r="E31" i="99"/>
  <c r="D31" i="99"/>
  <c r="C31" i="99"/>
  <c r="I30" i="99"/>
  <c r="H30" i="99"/>
  <c r="G30" i="99"/>
  <c r="E30" i="99"/>
  <c r="D30" i="99"/>
  <c r="C30" i="99"/>
  <c r="I29" i="99"/>
  <c r="H29" i="99"/>
  <c r="G29" i="99"/>
  <c r="E29" i="99"/>
  <c r="D29" i="99"/>
  <c r="C29" i="99"/>
  <c r="I28" i="99"/>
  <c r="H28" i="99"/>
  <c r="G28" i="99"/>
  <c r="E28" i="99"/>
  <c r="D28" i="99"/>
  <c r="C28" i="99"/>
  <c r="I27" i="99"/>
  <c r="H27" i="99"/>
  <c r="G27" i="99"/>
  <c r="E27" i="99"/>
  <c r="D27" i="99"/>
  <c r="C27" i="99"/>
  <c r="I26" i="99"/>
  <c r="H26" i="99"/>
  <c r="G26" i="99"/>
  <c r="E26" i="99"/>
  <c r="D26" i="99"/>
  <c r="C26" i="99"/>
  <c r="I25" i="99"/>
  <c r="H25" i="99"/>
  <c r="G25" i="99"/>
  <c r="E25" i="99"/>
  <c r="D25" i="99"/>
  <c r="C25" i="99"/>
  <c r="I24" i="99"/>
  <c r="H24" i="99"/>
  <c r="G24" i="99"/>
  <c r="E24" i="99"/>
  <c r="D24" i="99"/>
  <c r="C24" i="99"/>
  <c r="I23" i="99"/>
  <c r="H23" i="99"/>
  <c r="G23" i="99"/>
  <c r="E23" i="99"/>
  <c r="D23" i="99"/>
  <c r="C23" i="99"/>
  <c r="I22" i="99"/>
  <c r="H22" i="99"/>
  <c r="G22" i="99"/>
  <c r="E22" i="99"/>
  <c r="D22" i="99"/>
  <c r="C22" i="99"/>
  <c r="I21" i="99"/>
  <c r="H21" i="99"/>
  <c r="G21" i="99"/>
  <c r="E21" i="99"/>
  <c r="D21" i="99"/>
  <c r="C21" i="99"/>
  <c r="I20" i="99"/>
  <c r="H20" i="99"/>
  <c r="G20" i="99"/>
  <c r="E20" i="99"/>
  <c r="D20" i="99"/>
  <c r="C20" i="99"/>
  <c r="I19" i="99"/>
  <c r="H19" i="99"/>
  <c r="G19" i="99"/>
  <c r="E19" i="99"/>
  <c r="D19" i="99"/>
  <c r="C19" i="99"/>
  <c r="I18" i="99"/>
  <c r="H18" i="99"/>
  <c r="G18" i="99"/>
  <c r="E18" i="99"/>
  <c r="D18" i="99"/>
  <c r="C18" i="99"/>
  <c r="I17" i="99"/>
  <c r="H17" i="99"/>
  <c r="G17" i="99"/>
  <c r="E17" i="99"/>
  <c r="D17" i="99"/>
  <c r="C17" i="99"/>
  <c r="I16" i="99"/>
  <c r="H16" i="99"/>
  <c r="G16" i="99"/>
  <c r="E16" i="99"/>
  <c r="D16" i="99"/>
  <c r="C16" i="99"/>
  <c r="I15" i="99"/>
  <c r="H15" i="99"/>
  <c r="G15" i="99"/>
  <c r="E15" i="99"/>
  <c r="D15" i="99"/>
  <c r="C15" i="99"/>
  <c r="I14" i="99"/>
  <c r="H14" i="99"/>
  <c r="G14" i="99"/>
  <c r="E14" i="99"/>
  <c r="D14" i="99"/>
  <c r="C14" i="99"/>
  <c r="I13" i="99"/>
  <c r="H13" i="99"/>
  <c r="G13" i="99"/>
  <c r="E13" i="99"/>
  <c r="D13" i="99"/>
  <c r="C13" i="99"/>
  <c r="I12" i="99"/>
  <c r="H12" i="99"/>
  <c r="G12" i="99"/>
  <c r="E12" i="99"/>
  <c r="D12" i="99"/>
  <c r="C12" i="99"/>
  <c r="I11" i="99"/>
  <c r="H11" i="99"/>
  <c r="G11" i="99"/>
  <c r="E11" i="99"/>
  <c r="D11" i="99"/>
  <c r="C11" i="99"/>
  <c r="I10" i="99"/>
  <c r="H10" i="99"/>
  <c r="G10" i="99"/>
  <c r="E10" i="99"/>
  <c r="D10" i="99"/>
  <c r="C10" i="99"/>
  <c r="I9" i="99"/>
  <c r="H9" i="99"/>
  <c r="G9" i="99"/>
  <c r="E9" i="99"/>
  <c r="D9" i="99"/>
  <c r="C9" i="99"/>
  <c r="I8" i="99"/>
  <c r="H8" i="99"/>
  <c r="G8" i="99"/>
  <c r="E8" i="99"/>
  <c r="D8" i="99"/>
  <c r="C8" i="99"/>
  <c r="I7" i="99"/>
  <c r="H7" i="99"/>
  <c r="G7" i="99"/>
  <c r="E7" i="99"/>
  <c r="D7" i="99"/>
  <c r="C7" i="99"/>
  <c r="I52" i="97"/>
  <c r="H52" i="97"/>
  <c r="G52" i="97"/>
  <c r="E52" i="97"/>
  <c r="D52" i="97"/>
  <c r="C52" i="97"/>
  <c r="I51" i="97"/>
  <c r="H51" i="97"/>
  <c r="G51" i="97"/>
  <c r="E51" i="97"/>
  <c r="D51" i="97"/>
  <c r="C51" i="97"/>
  <c r="I50" i="97"/>
  <c r="H50" i="97"/>
  <c r="G50" i="97"/>
  <c r="E50" i="97"/>
  <c r="D50" i="97"/>
  <c r="C50" i="97"/>
  <c r="I49" i="97"/>
  <c r="H49" i="97"/>
  <c r="G49" i="97"/>
  <c r="E49" i="97"/>
  <c r="D49" i="97"/>
  <c r="C49" i="97"/>
  <c r="I48" i="97"/>
  <c r="H48" i="97"/>
  <c r="G48" i="97"/>
  <c r="E48" i="97"/>
  <c r="D48" i="97"/>
  <c r="C48" i="97"/>
  <c r="I47" i="97"/>
  <c r="H47" i="97"/>
  <c r="G47" i="97"/>
  <c r="E47" i="97"/>
  <c r="D47" i="97"/>
  <c r="C47" i="97"/>
  <c r="I46" i="97"/>
  <c r="H46" i="97"/>
  <c r="G46" i="97"/>
  <c r="E46" i="97"/>
  <c r="D46" i="97"/>
  <c r="C46" i="97"/>
  <c r="I45" i="97"/>
  <c r="H45" i="97"/>
  <c r="G45" i="97"/>
  <c r="E45" i="97"/>
  <c r="D45" i="97"/>
  <c r="C45" i="97"/>
  <c r="I44" i="97"/>
  <c r="H44" i="97"/>
  <c r="G44" i="97"/>
  <c r="E44" i="97"/>
  <c r="D44" i="97"/>
  <c r="C44" i="97"/>
  <c r="I43" i="97"/>
  <c r="H43" i="97"/>
  <c r="G43" i="97"/>
  <c r="E43" i="97"/>
  <c r="D43" i="97"/>
  <c r="C43" i="97"/>
  <c r="I42" i="97"/>
  <c r="H42" i="97"/>
  <c r="G42" i="97"/>
  <c r="E42" i="97"/>
  <c r="D42" i="97"/>
  <c r="C42" i="97"/>
  <c r="I41" i="97"/>
  <c r="H41" i="97"/>
  <c r="G41" i="97"/>
  <c r="E41" i="97"/>
  <c r="D41" i="97"/>
  <c r="C41" i="97"/>
  <c r="I40" i="97"/>
  <c r="H40" i="97"/>
  <c r="G40" i="97"/>
  <c r="E40" i="97"/>
  <c r="D40" i="97"/>
  <c r="C40" i="97"/>
  <c r="I39" i="97"/>
  <c r="H39" i="97"/>
  <c r="G39" i="97"/>
  <c r="E39" i="97"/>
  <c r="D39" i="97"/>
  <c r="C39" i="97"/>
  <c r="I38" i="97"/>
  <c r="H38" i="97"/>
  <c r="G38" i="97"/>
  <c r="E38" i="97"/>
  <c r="D38" i="97"/>
  <c r="C38" i="97"/>
  <c r="I37" i="97"/>
  <c r="H37" i="97"/>
  <c r="G37" i="97"/>
  <c r="E37" i="97"/>
  <c r="D37" i="97"/>
  <c r="C37" i="97"/>
  <c r="I36" i="97"/>
  <c r="H36" i="97"/>
  <c r="G36" i="97"/>
  <c r="E36" i="97"/>
  <c r="D36" i="97"/>
  <c r="C36" i="97"/>
  <c r="I35" i="97"/>
  <c r="H35" i="97"/>
  <c r="G35" i="97"/>
  <c r="E35" i="97"/>
  <c r="D35" i="97"/>
  <c r="C35" i="97"/>
  <c r="I34" i="97"/>
  <c r="H34" i="97"/>
  <c r="G34" i="97"/>
  <c r="E34" i="97"/>
  <c r="D34" i="97"/>
  <c r="C34" i="97"/>
  <c r="I33" i="97"/>
  <c r="H33" i="97"/>
  <c r="G33" i="97"/>
  <c r="E33" i="97"/>
  <c r="D33" i="97"/>
  <c r="C33" i="97"/>
  <c r="I32" i="97"/>
  <c r="H32" i="97"/>
  <c r="G32" i="97"/>
  <c r="E32" i="97"/>
  <c r="D32" i="97"/>
  <c r="C32" i="97"/>
  <c r="I31" i="97"/>
  <c r="H31" i="97"/>
  <c r="G31" i="97"/>
  <c r="E31" i="97"/>
  <c r="D31" i="97"/>
  <c r="C31" i="97"/>
  <c r="I30" i="97"/>
  <c r="H30" i="97"/>
  <c r="G30" i="97"/>
  <c r="E30" i="97"/>
  <c r="D30" i="97"/>
  <c r="C30" i="97"/>
  <c r="I29" i="97"/>
  <c r="H29" i="97"/>
  <c r="G29" i="97"/>
  <c r="E29" i="97"/>
  <c r="D29" i="97"/>
  <c r="C29" i="97"/>
  <c r="I28" i="97"/>
  <c r="H28" i="97"/>
  <c r="G28" i="97"/>
  <c r="E28" i="97"/>
  <c r="D28" i="97"/>
  <c r="C28" i="97"/>
  <c r="I27" i="97"/>
  <c r="H27" i="97"/>
  <c r="G27" i="97"/>
  <c r="E27" i="97"/>
  <c r="D27" i="97"/>
  <c r="C27" i="97"/>
  <c r="I26" i="97"/>
  <c r="H26" i="97"/>
  <c r="G26" i="97"/>
  <c r="E26" i="97"/>
  <c r="D26" i="97"/>
  <c r="C26" i="97"/>
  <c r="I25" i="97"/>
  <c r="H25" i="97"/>
  <c r="G25" i="97"/>
  <c r="E25" i="97"/>
  <c r="D25" i="97"/>
  <c r="C25" i="97"/>
  <c r="I24" i="97"/>
  <c r="H24" i="97"/>
  <c r="G24" i="97"/>
  <c r="E24" i="97"/>
  <c r="D24" i="97"/>
  <c r="C24" i="97"/>
  <c r="I23" i="97"/>
  <c r="H23" i="97"/>
  <c r="G23" i="97"/>
  <c r="E23" i="97"/>
  <c r="D23" i="97"/>
  <c r="C23" i="97"/>
  <c r="I22" i="97"/>
  <c r="H22" i="97"/>
  <c r="G22" i="97"/>
  <c r="E22" i="97"/>
  <c r="D22" i="97"/>
  <c r="C22" i="97"/>
  <c r="I21" i="97"/>
  <c r="H21" i="97"/>
  <c r="G21" i="97"/>
  <c r="E21" i="97"/>
  <c r="D21" i="97"/>
  <c r="C21" i="97"/>
  <c r="I20" i="97"/>
  <c r="H20" i="97"/>
  <c r="G20" i="97"/>
  <c r="E20" i="97"/>
  <c r="D20" i="97"/>
  <c r="C20" i="97"/>
  <c r="I19" i="97"/>
  <c r="H19" i="97"/>
  <c r="G19" i="97"/>
  <c r="E19" i="97"/>
  <c r="D19" i="97"/>
  <c r="C19" i="97"/>
  <c r="I18" i="97"/>
  <c r="H18" i="97"/>
  <c r="G18" i="97"/>
  <c r="E18" i="97"/>
  <c r="D18" i="97"/>
  <c r="C18" i="97"/>
  <c r="I17" i="97"/>
  <c r="H17" i="97"/>
  <c r="G17" i="97"/>
  <c r="E17" i="97"/>
  <c r="D17" i="97"/>
  <c r="C17" i="97"/>
  <c r="I16" i="97"/>
  <c r="H16" i="97"/>
  <c r="G16" i="97"/>
  <c r="E16" i="97"/>
  <c r="D16" i="97"/>
  <c r="C16" i="97"/>
  <c r="I15" i="97"/>
  <c r="H15" i="97"/>
  <c r="G15" i="97"/>
  <c r="E15" i="97"/>
  <c r="D15" i="97"/>
  <c r="C15" i="97"/>
  <c r="I14" i="97"/>
  <c r="H14" i="97"/>
  <c r="G14" i="97"/>
  <c r="E14" i="97"/>
  <c r="D14" i="97"/>
  <c r="C14" i="97"/>
  <c r="I13" i="97"/>
  <c r="H13" i="97"/>
  <c r="G13" i="97"/>
  <c r="E13" i="97"/>
  <c r="D13" i="97"/>
  <c r="C13" i="97"/>
  <c r="I12" i="97"/>
  <c r="H12" i="97"/>
  <c r="G12" i="97"/>
  <c r="E12" i="97"/>
  <c r="D12" i="97"/>
  <c r="C12" i="97"/>
  <c r="I11" i="97"/>
  <c r="H11" i="97"/>
  <c r="G11" i="97"/>
  <c r="E11" i="97"/>
  <c r="D11" i="97"/>
  <c r="C11" i="97"/>
  <c r="I10" i="97"/>
  <c r="H10" i="97"/>
  <c r="G10" i="97"/>
  <c r="E10" i="97"/>
  <c r="D10" i="97"/>
  <c r="C10" i="97"/>
  <c r="I9" i="97"/>
  <c r="H9" i="97"/>
  <c r="G9" i="97"/>
  <c r="E9" i="97"/>
  <c r="D9" i="97"/>
  <c r="C9" i="97"/>
  <c r="I8" i="97"/>
  <c r="H8" i="97"/>
  <c r="G8" i="97"/>
  <c r="E8" i="97"/>
  <c r="D8" i="97"/>
  <c r="C8" i="97"/>
  <c r="I7" i="97"/>
  <c r="H7" i="97"/>
  <c r="G7" i="97"/>
  <c r="E7" i="97"/>
  <c r="D7" i="97"/>
  <c r="C7" i="97"/>
  <c r="K40" i="90" l="1"/>
  <c r="J40" i="90"/>
  <c r="G40" i="90"/>
  <c r="F40" i="90"/>
  <c r="E40" i="90"/>
  <c r="D40" i="90"/>
  <c r="C40" i="90"/>
  <c r="B40" i="90"/>
  <c r="K39" i="90"/>
  <c r="J39" i="90"/>
  <c r="G39" i="90"/>
  <c r="F39" i="90"/>
  <c r="E39" i="90"/>
  <c r="D39" i="90"/>
  <c r="C39" i="90"/>
  <c r="B39" i="90"/>
  <c r="K38" i="90"/>
  <c r="J38" i="90"/>
  <c r="G38" i="90"/>
  <c r="F38" i="90"/>
  <c r="E38" i="90"/>
  <c r="D38" i="90"/>
  <c r="C38" i="90"/>
  <c r="B38" i="90"/>
  <c r="K37" i="90"/>
  <c r="J37" i="90"/>
  <c r="G37" i="90"/>
  <c r="F37" i="90"/>
  <c r="E37" i="90"/>
  <c r="D37" i="90"/>
  <c r="C37" i="90"/>
  <c r="B37" i="90"/>
  <c r="K36" i="90"/>
  <c r="J36" i="90"/>
  <c r="I36" i="90"/>
  <c r="G36" i="90"/>
  <c r="F36" i="90"/>
  <c r="E36" i="90"/>
  <c r="D36" i="90"/>
  <c r="C36" i="90"/>
  <c r="B36" i="90"/>
  <c r="K35" i="90"/>
  <c r="J35" i="90"/>
  <c r="I35" i="90"/>
  <c r="H35" i="90"/>
  <c r="G35" i="90"/>
  <c r="F35" i="90"/>
  <c r="E35" i="90"/>
  <c r="D35" i="90"/>
  <c r="C35" i="90"/>
  <c r="B35" i="90"/>
  <c r="K21" i="90"/>
  <c r="J21" i="90"/>
  <c r="I21" i="90"/>
  <c r="G21" i="90"/>
  <c r="F21" i="90"/>
  <c r="E21" i="90"/>
  <c r="D21" i="90"/>
  <c r="C21" i="90"/>
  <c r="B21" i="90"/>
  <c r="K20" i="90"/>
  <c r="J20" i="90"/>
  <c r="I20" i="90"/>
  <c r="G20" i="90"/>
  <c r="F20" i="90"/>
  <c r="E20" i="90"/>
  <c r="D20" i="90"/>
  <c r="C20" i="90"/>
  <c r="B20" i="90"/>
  <c r="K19" i="90"/>
  <c r="J19" i="90"/>
  <c r="I19" i="90"/>
  <c r="G19" i="90"/>
  <c r="F19" i="90"/>
  <c r="E19" i="90"/>
  <c r="D19" i="90"/>
  <c r="C19" i="90"/>
  <c r="B19" i="90"/>
  <c r="K18" i="90"/>
  <c r="J18" i="90"/>
  <c r="I18" i="90"/>
  <c r="G18" i="90"/>
  <c r="F18" i="90"/>
  <c r="E18" i="90"/>
  <c r="D18" i="90"/>
  <c r="C18" i="90"/>
  <c r="B18" i="90"/>
  <c r="K17" i="90"/>
  <c r="J17" i="90"/>
  <c r="I17" i="90"/>
  <c r="G17" i="90"/>
  <c r="F17" i="90"/>
  <c r="E17" i="90"/>
  <c r="D17" i="90"/>
  <c r="C17" i="90"/>
  <c r="B17" i="90"/>
  <c r="K16" i="90"/>
  <c r="J16" i="90"/>
  <c r="I16" i="90"/>
  <c r="H16" i="90"/>
  <c r="G16" i="90"/>
  <c r="F16" i="90"/>
  <c r="E16" i="90"/>
  <c r="D16" i="90"/>
  <c r="C16" i="90"/>
  <c r="B16" i="90"/>
  <c r="G27" i="90"/>
  <c r="F31" i="90"/>
  <c r="D26" i="90"/>
  <c r="K31" i="90"/>
  <c r="E31" i="90"/>
  <c r="D27" i="90"/>
  <c r="C28" i="90"/>
  <c r="C26" i="90"/>
  <c r="F28" i="90"/>
  <c r="C30" i="90"/>
  <c r="J30" i="90"/>
  <c r="G30" i="90"/>
  <c r="G26" i="90"/>
  <c r="F26" i="90"/>
  <c r="H30" i="90"/>
  <c r="D28" i="90"/>
  <c r="K27" i="90"/>
  <c r="B31" i="90"/>
  <c r="C29" i="90"/>
  <c r="B27" i="90"/>
  <c r="K26" i="90"/>
  <c r="K29" i="90"/>
  <c r="B28" i="90"/>
  <c r="B26" i="90"/>
  <c r="F30" i="90"/>
  <c r="J29" i="90"/>
  <c r="D30" i="90"/>
  <c r="H26" i="90"/>
  <c r="K28" i="90"/>
  <c r="F29" i="90"/>
  <c r="B29" i="90"/>
  <c r="H27" i="90"/>
  <c r="D29" i="90"/>
  <c r="G31" i="90"/>
  <c r="F27" i="90"/>
  <c r="J31" i="90"/>
  <c r="E26" i="90"/>
  <c r="J28" i="90"/>
  <c r="J26" i="90"/>
  <c r="B30" i="90"/>
  <c r="E28" i="90"/>
  <c r="G28" i="90"/>
  <c r="D31" i="90"/>
  <c r="I29" i="90"/>
  <c r="K30" i="90"/>
  <c r="I31" i="90"/>
  <c r="J27" i="90"/>
  <c r="C31" i="90"/>
  <c r="I28" i="90"/>
  <c r="E30" i="90"/>
  <c r="C27" i="90"/>
  <c r="I26" i="90"/>
  <c r="H31" i="90"/>
  <c r="H28" i="90"/>
  <c r="E29" i="90"/>
  <c r="G29" i="90"/>
  <c r="I30" i="90"/>
  <c r="I27" i="90"/>
  <c r="H29" i="90"/>
  <c r="E27" i="90"/>
  <c r="I39" i="90" l="1"/>
  <c r="I38" i="90"/>
  <c r="I40" i="90"/>
  <c r="I37" i="90"/>
  <c r="J33" i="87"/>
  <c r="K33" i="87"/>
  <c r="E29" i="20"/>
  <c r="E31" i="20"/>
  <c r="E24" i="20"/>
  <c r="E26" i="20"/>
  <c r="E27" i="20"/>
  <c r="E22" i="20"/>
  <c r="E30" i="20"/>
  <c r="E23" i="20"/>
  <c r="E28" i="20"/>
  <c r="E25" i="20"/>
  <c r="E21" i="20"/>
  <c r="K40" i="89" l="1"/>
  <c r="J40" i="89"/>
  <c r="K39" i="89"/>
  <c r="J39" i="89"/>
  <c r="K38" i="89"/>
  <c r="J38" i="89"/>
  <c r="K37" i="89"/>
  <c r="J37" i="89"/>
  <c r="K36" i="89"/>
  <c r="J36" i="89"/>
  <c r="K35" i="89"/>
  <c r="J35" i="89"/>
  <c r="K34" i="89"/>
  <c r="J34" i="89"/>
  <c r="K33" i="89"/>
  <c r="J33" i="89"/>
  <c r="K32" i="89"/>
  <c r="J32" i="89"/>
  <c r="K31" i="89"/>
  <c r="J31" i="89"/>
  <c r="K30" i="89"/>
  <c r="J30" i="89"/>
  <c r="K29" i="89"/>
  <c r="J29" i="89"/>
  <c r="K28" i="89"/>
  <c r="J28" i="89"/>
  <c r="K27" i="89"/>
  <c r="J27" i="89"/>
  <c r="K26" i="89"/>
  <c r="J26" i="89"/>
  <c r="K25" i="89"/>
  <c r="J25" i="89"/>
  <c r="K24" i="89"/>
  <c r="J24" i="89"/>
  <c r="K23" i="89"/>
  <c r="J23" i="89"/>
  <c r="K22" i="89"/>
  <c r="J22" i="89"/>
  <c r="K21" i="89"/>
  <c r="J21" i="89"/>
  <c r="K20" i="89"/>
  <c r="J20" i="89"/>
  <c r="K19" i="89"/>
  <c r="J19" i="89"/>
  <c r="K18" i="89"/>
  <c r="J18" i="89"/>
  <c r="K17" i="89"/>
  <c r="J17" i="89"/>
  <c r="K16" i="89"/>
  <c r="J16" i="89"/>
  <c r="K15" i="89"/>
  <c r="J15" i="89"/>
  <c r="K14" i="89"/>
  <c r="J14" i="89"/>
  <c r="K13" i="89"/>
  <c r="J13" i="89"/>
  <c r="K12" i="89"/>
  <c r="J12" i="89"/>
  <c r="K11" i="89"/>
  <c r="J11" i="89"/>
  <c r="K10" i="89"/>
  <c r="J10" i="89"/>
  <c r="K9" i="89"/>
  <c r="J9" i="89"/>
  <c r="K8" i="89"/>
  <c r="J8" i="89"/>
  <c r="K7" i="89"/>
  <c r="J7" i="89"/>
  <c r="K6" i="89"/>
  <c r="J6" i="89"/>
  <c r="K5" i="89"/>
  <c r="J5" i="89"/>
  <c r="K40" i="88"/>
  <c r="J40" i="88"/>
  <c r="K39" i="88"/>
  <c r="J39" i="88"/>
  <c r="K38" i="88"/>
  <c r="J38" i="88"/>
  <c r="K37" i="88"/>
  <c r="J37" i="88"/>
  <c r="K36" i="88"/>
  <c r="J36" i="88"/>
  <c r="K35" i="88"/>
  <c r="J35" i="88"/>
  <c r="K34" i="88"/>
  <c r="J34" i="88"/>
  <c r="K33" i="88"/>
  <c r="J33" i="88"/>
  <c r="K32" i="88"/>
  <c r="J32" i="88"/>
  <c r="K31" i="88"/>
  <c r="J31" i="88"/>
  <c r="K30" i="88"/>
  <c r="J30" i="88"/>
  <c r="K29" i="88"/>
  <c r="J29" i="88"/>
  <c r="K28" i="88"/>
  <c r="J28" i="88"/>
  <c r="K27" i="88"/>
  <c r="J27" i="88"/>
  <c r="K26" i="88"/>
  <c r="J26" i="88"/>
  <c r="K25" i="88"/>
  <c r="J25" i="88"/>
  <c r="K24" i="88"/>
  <c r="J24" i="88"/>
  <c r="K23" i="88"/>
  <c r="J23" i="88"/>
  <c r="K22" i="88"/>
  <c r="J22" i="88"/>
  <c r="K21" i="88"/>
  <c r="J21" i="88"/>
  <c r="K20" i="88"/>
  <c r="J20" i="88"/>
  <c r="K19" i="88"/>
  <c r="J19" i="88"/>
  <c r="K18" i="88"/>
  <c r="J18" i="88"/>
  <c r="K17" i="88"/>
  <c r="J17" i="88"/>
  <c r="K16" i="88"/>
  <c r="J16" i="88"/>
  <c r="K15" i="88"/>
  <c r="J15" i="88"/>
  <c r="K14" i="88"/>
  <c r="J14" i="88"/>
  <c r="K13" i="88"/>
  <c r="J13" i="88"/>
  <c r="K12" i="88"/>
  <c r="J12" i="88"/>
  <c r="K11" i="88"/>
  <c r="J11" i="88"/>
  <c r="K10" i="88"/>
  <c r="J10" i="88"/>
  <c r="K9" i="88"/>
  <c r="J9" i="88"/>
  <c r="K8" i="88"/>
  <c r="J8" i="88"/>
  <c r="K7" i="88"/>
  <c r="J7" i="88"/>
  <c r="K6" i="88"/>
  <c r="J6" i="88"/>
  <c r="K5" i="88"/>
  <c r="J5" i="88"/>
  <c r="K40" i="87"/>
  <c r="J40" i="87"/>
  <c r="K39" i="87"/>
  <c r="J39" i="87"/>
  <c r="K38" i="87"/>
  <c r="J38" i="87"/>
  <c r="K37" i="87"/>
  <c r="J37" i="87"/>
  <c r="K36" i="87"/>
  <c r="J36" i="87"/>
  <c r="K35" i="87"/>
  <c r="J35" i="87"/>
  <c r="K34" i="87"/>
  <c r="J34" i="87"/>
  <c r="K32" i="87"/>
  <c r="J32" i="87"/>
  <c r="K31" i="87"/>
  <c r="J31" i="87"/>
  <c r="K30" i="87"/>
  <c r="J30" i="87"/>
  <c r="K29" i="87"/>
  <c r="J29" i="87"/>
  <c r="K28" i="87"/>
  <c r="J28" i="87"/>
  <c r="K27" i="87"/>
  <c r="J27" i="87"/>
  <c r="K26" i="87"/>
  <c r="J26" i="87"/>
  <c r="K25" i="87"/>
  <c r="J25" i="87"/>
  <c r="K24" i="87"/>
  <c r="J24" i="87"/>
  <c r="K23" i="87"/>
  <c r="J23" i="87"/>
  <c r="K22" i="87"/>
  <c r="J22" i="87"/>
  <c r="K21" i="87"/>
  <c r="J21" i="87"/>
  <c r="K20" i="87"/>
  <c r="J20" i="87"/>
  <c r="K19" i="87"/>
  <c r="J19" i="87"/>
  <c r="K18" i="87"/>
  <c r="J18" i="87"/>
  <c r="K17" i="87"/>
  <c r="J17" i="87"/>
  <c r="K16" i="87"/>
  <c r="J16" i="87"/>
  <c r="K15" i="87"/>
  <c r="J15" i="87"/>
  <c r="K14" i="87"/>
  <c r="J14" i="87"/>
  <c r="K13" i="87"/>
  <c r="J13" i="87"/>
  <c r="K12" i="87"/>
  <c r="J12" i="87"/>
  <c r="K11" i="87"/>
  <c r="J11" i="87"/>
  <c r="K10" i="87"/>
  <c r="J10" i="87"/>
  <c r="K9" i="87"/>
  <c r="J9" i="87"/>
  <c r="K8" i="87"/>
  <c r="J8" i="87"/>
  <c r="K7" i="87"/>
  <c r="J7" i="87"/>
  <c r="K6" i="87"/>
  <c r="J6" i="87"/>
  <c r="K5" i="87"/>
  <c r="J5" i="87"/>
  <c r="K40" i="86"/>
  <c r="J40" i="86"/>
  <c r="K39" i="86"/>
  <c r="J39" i="86"/>
  <c r="K38" i="86"/>
  <c r="J38" i="86"/>
  <c r="K37" i="86"/>
  <c r="J37" i="86"/>
  <c r="K36" i="86"/>
  <c r="J36" i="86"/>
  <c r="K35" i="86"/>
  <c r="J35" i="86"/>
  <c r="K34" i="86"/>
  <c r="J34" i="86"/>
  <c r="K33" i="86"/>
  <c r="J33" i="86"/>
  <c r="K32" i="86"/>
  <c r="J32" i="86"/>
  <c r="K31" i="86"/>
  <c r="J31" i="86"/>
  <c r="K30" i="86"/>
  <c r="J30" i="86"/>
  <c r="K29" i="86"/>
  <c r="J29" i="86"/>
  <c r="K28" i="86"/>
  <c r="J28" i="86"/>
  <c r="K27" i="86"/>
  <c r="J27" i="86"/>
  <c r="K26" i="86"/>
  <c r="J26" i="86"/>
  <c r="K25" i="86"/>
  <c r="J25" i="86"/>
  <c r="K24" i="86"/>
  <c r="J24" i="86"/>
  <c r="K23" i="86"/>
  <c r="J23" i="86"/>
  <c r="K22" i="86"/>
  <c r="J22" i="86"/>
  <c r="K21" i="86"/>
  <c r="J21" i="86"/>
  <c r="K20" i="86"/>
  <c r="J20" i="86"/>
  <c r="K19" i="86"/>
  <c r="J19" i="86"/>
  <c r="K18" i="86"/>
  <c r="J18" i="86"/>
  <c r="K17" i="86"/>
  <c r="J17" i="86"/>
  <c r="K16" i="86"/>
  <c r="J16" i="86"/>
  <c r="K15" i="86"/>
  <c r="J15" i="86"/>
  <c r="K14" i="86"/>
  <c r="J14" i="86"/>
  <c r="K13" i="86"/>
  <c r="J13" i="86"/>
  <c r="K12" i="86"/>
  <c r="J12" i="86"/>
  <c r="K11" i="86"/>
  <c r="J11" i="86"/>
  <c r="K10" i="86"/>
  <c r="J10" i="86"/>
  <c r="K9" i="86"/>
  <c r="J9" i="86"/>
  <c r="K8" i="86"/>
  <c r="J8" i="86"/>
  <c r="K7" i="86"/>
  <c r="J7" i="86"/>
  <c r="K6" i="86"/>
  <c r="J6" i="86"/>
  <c r="K5" i="86"/>
  <c r="J5" i="86"/>
  <c r="K40" i="85"/>
  <c r="J40" i="85"/>
  <c r="K39" i="85"/>
  <c r="J39" i="85"/>
  <c r="K38" i="85"/>
  <c r="J38" i="85"/>
  <c r="K37" i="85"/>
  <c r="J37" i="85"/>
  <c r="K36" i="85"/>
  <c r="J36" i="85"/>
  <c r="K35" i="85"/>
  <c r="J35" i="85"/>
  <c r="K34" i="85"/>
  <c r="J34" i="85"/>
  <c r="K33" i="85"/>
  <c r="J33" i="85"/>
  <c r="K32" i="85"/>
  <c r="J32" i="85"/>
  <c r="K31" i="85"/>
  <c r="J31" i="85"/>
  <c r="K30" i="85"/>
  <c r="J30" i="85"/>
  <c r="K29" i="85"/>
  <c r="J29" i="85"/>
  <c r="K28" i="85"/>
  <c r="J28" i="85"/>
  <c r="K27" i="85"/>
  <c r="J27" i="85"/>
  <c r="K26" i="85"/>
  <c r="J26" i="85"/>
  <c r="K25" i="85"/>
  <c r="J25" i="85"/>
  <c r="K24" i="85"/>
  <c r="J24" i="85"/>
  <c r="K23" i="85"/>
  <c r="J23" i="85"/>
  <c r="K22" i="85"/>
  <c r="J22" i="85"/>
  <c r="K21" i="85"/>
  <c r="J21" i="85"/>
  <c r="K20" i="85"/>
  <c r="J20" i="85"/>
  <c r="K19" i="85"/>
  <c r="J19" i="85"/>
  <c r="K18" i="85"/>
  <c r="J18" i="85"/>
  <c r="K17" i="85"/>
  <c r="J17" i="85"/>
  <c r="K16" i="85"/>
  <c r="J16" i="85"/>
  <c r="K15" i="85"/>
  <c r="J15" i="85"/>
  <c r="K14" i="85"/>
  <c r="J14" i="85"/>
  <c r="K13" i="85"/>
  <c r="J13" i="85"/>
  <c r="K12" i="85"/>
  <c r="J12" i="85"/>
  <c r="K11" i="85"/>
  <c r="J11" i="85"/>
  <c r="K10" i="85"/>
  <c r="J10" i="85"/>
  <c r="K9" i="85"/>
  <c r="J9" i="85"/>
  <c r="K8" i="85"/>
  <c r="J8" i="85"/>
  <c r="K7" i="85"/>
  <c r="J7" i="85"/>
  <c r="K6" i="85"/>
  <c r="J6" i="85"/>
  <c r="K5" i="85"/>
  <c r="J5" i="85"/>
  <c r="B12" i="23" l="1"/>
  <c r="C12" i="23"/>
  <c r="D12" i="23"/>
  <c r="E12" i="23"/>
  <c r="F12" i="23"/>
  <c r="G12" i="23"/>
  <c r="G11" i="23"/>
  <c r="F11" i="23"/>
  <c r="E11" i="23"/>
  <c r="D11" i="23"/>
  <c r="C11" i="23"/>
  <c r="B11" i="23"/>
  <c r="M106" i="79" l="1"/>
  <c r="M105" i="79"/>
  <c r="M104" i="79"/>
  <c r="M103" i="79"/>
  <c r="M102" i="79"/>
  <c r="M101" i="79"/>
  <c r="M100" i="79"/>
  <c r="M99" i="79"/>
  <c r="M98" i="79"/>
  <c r="M97" i="79"/>
  <c r="M96" i="79"/>
  <c r="M95" i="79"/>
  <c r="M94" i="79"/>
  <c r="M93" i="79"/>
  <c r="M92" i="79"/>
  <c r="M91" i="79"/>
  <c r="M90" i="79"/>
  <c r="M89" i="79"/>
  <c r="M88" i="79"/>
  <c r="M87" i="79"/>
  <c r="M86" i="79"/>
  <c r="M85" i="79"/>
  <c r="M84" i="79"/>
  <c r="M83" i="79"/>
  <c r="M82" i="79"/>
  <c r="M81" i="79"/>
  <c r="M80" i="79"/>
  <c r="M79" i="79"/>
  <c r="M78" i="79"/>
  <c r="M77" i="79"/>
  <c r="M76" i="79"/>
  <c r="M75" i="79"/>
  <c r="M74" i="79"/>
  <c r="M73" i="79"/>
  <c r="M72" i="79"/>
  <c r="M71" i="79"/>
  <c r="M70" i="79"/>
  <c r="M69" i="79"/>
  <c r="M68" i="79"/>
  <c r="M67" i="79"/>
  <c r="M66" i="79"/>
  <c r="M65" i="79"/>
  <c r="M64" i="79"/>
  <c r="M63" i="79"/>
  <c r="M62" i="79"/>
  <c r="M61" i="79"/>
  <c r="M60" i="79"/>
  <c r="M59" i="79"/>
  <c r="I5" i="15"/>
  <c r="I4" i="15"/>
  <c r="I6" i="16"/>
  <c r="P106" i="79"/>
  <c r="P105" i="79"/>
  <c r="P104" i="79"/>
  <c r="P103" i="79"/>
  <c r="P102" i="79"/>
  <c r="P101" i="79"/>
  <c r="P100" i="79"/>
  <c r="P99" i="79"/>
  <c r="P98" i="79"/>
  <c r="P97" i="79"/>
  <c r="P96" i="79"/>
  <c r="P95" i="79"/>
  <c r="P94" i="79"/>
  <c r="P93" i="79"/>
  <c r="P92" i="79"/>
  <c r="P91" i="79"/>
  <c r="P90" i="79"/>
  <c r="P89" i="79"/>
  <c r="P88" i="79"/>
  <c r="P87" i="79"/>
  <c r="P86" i="79"/>
  <c r="P85" i="79"/>
  <c r="P84" i="79"/>
  <c r="P83" i="79"/>
  <c r="P82" i="79"/>
  <c r="P81" i="79"/>
  <c r="P80" i="79"/>
  <c r="P79" i="79"/>
  <c r="P78" i="79"/>
  <c r="P77" i="79"/>
  <c r="P76" i="79"/>
  <c r="P75" i="79"/>
  <c r="P74" i="79"/>
  <c r="P73" i="79"/>
  <c r="P72" i="79"/>
  <c r="P71" i="79"/>
  <c r="P70" i="79"/>
  <c r="P69" i="79"/>
  <c r="P68" i="79"/>
  <c r="P67" i="79"/>
  <c r="P66" i="79"/>
  <c r="P65" i="79"/>
  <c r="P64" i="79"/>
  <c r="P63" i="79"/>
  <c r="P62" i="79"/>
  <c r="P61" i="79"/>
  <c r="P60" i="79"/>
  <c r="P59" i="79"/>
  <c r="J46" i="79"/>
  <c r="J45" i="79"/>
  <c r="J44" i="79"/>
  <c r="J43" i="79"/>
  <c r="J42" i="79"/>
  <c r="J41" i="79"/>
  <c r="J40" i="79"/>
  <c r="J39" i="79"/>
  <c r="J38" i="79"/>
  <c r="J37" i="79"/>
  <c r="J36" i="79"/>
  <c r="J35" i="79"/>
  <c r="J34" i="79"/>
  <c r="J33" i="79"/>
  <c r="J32" i="79"/>
  <c r="J31" i="79"/>
  <c r="J30" i="79"/>
  <c r="J29" i="79"/>
  <c r="G6" i="16"/>
  <c r="G6" i="15"/>
  <c r="L9" i="8"/>
  <c r="L8" i="8"/>
  <c r="L7" i="8"/>
  <c r="L6" i="8"/>
  <c r="L5" i="8"/>
  <c r="L4" i="8"/>
  <c r="W32" i="20"/>
  <c r="W31" i="20"/>
  <c r="W30" i="20"/>
  <c r="W29" i="20"/>
  <c r="W28" i="20"/>
  <c r="W27" i="20"/>
  <c r="W26" i="20"/>
  <c r="W25" i="20"/>
  <c r="V32" i="20"/>
  <c r="V31" i="20"/>
  <c r="V30" i="20"/>
  <c r="V29" i="20"/>
  <c r="V28" i="20"/>
  <c r="V27" i="20"/>
  <c r="V26" i="20"/>
  <c r="V25" i="20"/>
  <c r="O106" i="79"/>
  <c r="O105" i="79"/>
  <c r="O104" i="79"/>
  <c r="O103" i="79"/>
  <c r="O102" i="79"/>
  <c r="O101" i="79"/>
  <c r="O100" i="79"/>
  <c r="O99" i="79"/>
  <c r="O98" i="79"/>
  <c r="O97" i="79"/>
  <c r="O96" i="79"/>
  <c r="O95" i="79"/>
  <c r="O94" i="79"/>
  <c r="O93" i="79"/>
  <c r="O92" i="79"/>
  <c r="O91" i="79"/>
  <c r="O90" i="79"/>
  <c r="O89" i="79"/>
  <c r="O88" i="79"/>
  <c r="O87" i="79"/>
  <c r="O86" i="79"/>
  <c r="O85" i="79"/>
  <c r="O84" i="79"/>
  <c r="O83" i="79"/>
  <c r="O82" i="79"/>
  <c r="O81" i="79"/>
  <c r="O80" i="79"/>
  <c r="O79" i="79"/>
  <c r="O78" i="79"/>
  <c r="O77" i="79"/>
  <c r="O76" i="79"/>
  <c r="O75" i="79"/>
  <c r="O74" i="79"/>
  <c r="O73" i="79"/>
  <c r="O72" i="79"/>
  <c r="O71" i="79"/>
  <c r="O70" i="79"/>
  <c r="O69" i="79"/>
  <c r="O68" i="79"/>
  <c r="O67" i="79"/>
  <c r="O66" i="79"/>
  <c r="O65" i="79"/>
  <c r="O64" i="79"/>
  <c r="O63" i="79"/>
  <c r="O62" i="79"/>
  <c r="O61" i="79"/>
  <c r="O60" i="79"/>
  <c r="O59" i="79"/>
  <c r="K5" i="15"/>
  <c r="K4" i="15"/>
  <c r="J9" i="8"/>
  <c r="J8" i="8"/>
  <c r="J7" i="8"/>
  <c r="J6" i="8"/>
  <c r="J5" i="8"/>
  <c r="J4" i="8"/>
  <c r="N106" i="79"/>
  <c r="N105" i="79"/>
  <c r="N104" i="79"/>
  <c r="N103" i="79"/>
  <c r="N102" i="79"/>
  <c r="N101" i="79"/>
  <c r="N100" i="79"/>
  <c r="N99" i="79"/>
  <c r="N98" i="79"/>
  <c r="N97" i="79"/>
  <c r="N96" i="79"/>
  <c r="N95" i="79"/>
  <c r="N94" i="79"/>
  <c r="N93" i="79"/>
  <c r="N92" i="79"/>
  <c r="N91" i="79"/>
  <c r="N90" i="79"/>
  <c r="N89" i="79"/>
  <c r="N88" i="79"/>
  <c r="N87" i="79"/>
  <c r="N86" i="79"/>
  <c r="N85" i="79"/>
  <c r="N84" i="79"/>
  <c r="N83" i="79"/>
  <c r="N82" i="79"/>
  <c r="N81" i="79"/>
  <c r="N80" i="79"/>
  <c r="N79" i="79"/>
  <c r="N78" i="79"/>
  <c r="N77" i="79"/>
  <c r="N76" i="79"/>
  <c r="N75" i="79"/>
  <c r="N74" i="79"/>
  <c r="N73" i="79"/>
  <c r="N72" i="79"/>
  <c r="N71" i="79"/>
  <c r="N70" i="79"/>
  <c r="N69" i="79"/>
  <c r="N68" i="79"/>
  <c r="N67" i="79"/>
  <c r="N66" i="79"/>
  <c r="N65" i="79"/>
  <c r="N64" i="79"/>
  <c r="N63" i="79"/>
  <c r="N62" i="79"/>
  <c r="N61" i="79"/>
  <c r="N60" i="79"/>
  <c r="N59" i="79"/>
  <c r="I53" i="79"/>
  <c r="I52" i="79"/>
  <c r="I51" i="79"/>
  <c r="I50" i="79"/>
  <c r="I49" i="79"/>
  <c r="I48" i="79"/>
  <c r="I47" i="79"/>
  <c r="I46" i="79"/>
  <c r="I45" i="79"/>
  <c r="I44" i="79"/>
  <c r="I43" i="79"/>
  <c r="I42" i="79"/>
  <c r="I41" i="79"/>
  <c r="I40" i="79"/>
  <c r="I39" i="79"/>
  <c r="I38" i="79"/>
  <c r="I37" i="79"/>
  <c r="I36" i="79"/>
  <c r="I35" i="79"/>
  <c r="I34" i="79"/>
  <c r="I33" i="79"/>
  <c r="I32" i="79"/>
  <c r="I31" i="79"/>
  <c r="I30" i="79"/>
  <c r="I29" i="79"/>
  <c r="I28" i="79"/>
  <c r="I27" i="79"/>
  <c r="I26" i="79"/>
  <c r="I25" i="79"/>
  <c r="I24" i="79"/>
  <c r="I23" i="79"/>
  <c r="I22" i="79"/>
  <c r="I21" i="79"/>
  <c r="I20" i="79"/>
  <c r="I19" i="79"/>
  <c r="I18" i="79"/>
  <c r="I17" i="79"/>
  <c r="I16" i="79"/>
  <c r="I15" i="79"/>
  <c r="I14" i="79"/>
  <c r="I13" i="79"/>
  <c r="I12" i="79"/>
  <c r="I11" i="79"/>
  <c r="I10" i="79"/>
  <c r="I9" i="79"/>
  <c r="I8" i="79"/>
  <c r="I7" i="79"/>
  <c r="I6" i="79"/>
  <c r="E6" i="16"/>
  <c r="E6" i="15"/>
  <c r="J5" i="15"/>
  <c r="J4" i="15"/>
  <c r="Q106" i="79"/>
  <c r="Q105" i="79"/>
  <c r="Q104" i="79"/>
  <c r="Q103" i="79"/>
  <c r="Q102" i="79"/>
  <c r="Q101" i="79"/>
  <c r="Q100" i="79"/>
  <c r="Q99" i="79"/>
  <c r="Q98" i="79"/>
  <c r="Q97" i="79"/>
  <c r="Q96" i="79"/>
  <c r="Q95" i="79"/>
  <c r="Q94" i="79"/>
  <c r="Q93" i="79"/>
  <c r="Q92" i="79"/>
  <c r="Q91" i="79"/>
  <c r="Q90" i="79"/>
  <c r="Q89" i="79"/>
  <c r="Q88" i="79"/>
  <c r="Q87" i="79"/>
  <c r="Q86" i="79"/>
  <c r="Q85" i="79"/>
  <c r="Q84" i="79"/>
  <c r="Q83" i="79"/>
  <c r="Q82" i="79"/>
  <c r="Q81" i="79"/>
  <c r="Q80" i="79"/>
  <c r="Q79" i="79"/>
  <c r="Q78" i="79"/>
  <c r="Q77" i="79"/>
  <c r="Q76" i="79"/>
  <c r="Q75" i="79"/>
  <c r="Q74" i="79"/>
  <c r="Q73" i="79"/>
  <c r="Q72" i="79"/>
  <c r="Q71" i="79"/>
  <c r="Q70" i="79"/>
  <c r="Q69" i="79"/>
  <c r="Q68" i="79"/>
  <c r="Q67" i="79"/>
  <c r="Q66" i="79"/>
  <c r="Q65" i="79"/>
  <c r="Q64" i="79"/>
  <c r="Q63" i="79"/>
  <c r="Q62" i="79"/>
  <c r="Q61" i="79"/>
  <c r="Q60" i="79"/>
  <c r="Q59" i="79"/>
  <c r="L106" i="79"/>
  <c r="L105" i="79"/>
  <c r="L104" i="79"/>
  <c r="L103" i="79"/>
  <c r="L102" i="79"/>
  <c r="L101" i="79"/>
  <c r="L100" i="79"/>
  <c r="L99" i="79"/>
  <c r="L98" i="79"/>
  <c r="L97" i="79"/>
  <c r="L96" i="79"/>
  <c r="L95" i="79"/>
  <c r="L94" i="79"/>
  <c r="L93" i="79"/>
  <c r="L92" i="79"/>
  <c r="L91" i="79"/>
  <c r="L90" i="79"/>
  <c r="L89" i="79"/>
  <c r="L88" i="79"/>
  <c r="L87" i="79"/>
  <c r="L86" i="79"/>
  <c r="L85" i="79"/>
  <c r="L84" i="79"/>
  <c r="L83" i="79"/>
  <c r="L82" i="79"/>
  <c r="L81" i="79"/>
  <c r="L80" i="79"/>
  <c r="L79" i="79"/>
  <c r="L78" i="79"/>
  <c r="L77" i="79"/>
  <c r="L76" i="79"/>
  <c r="L75" i="79"/>
  <c r="L74" i="79"/>
  <c r="L73" i="79"/>
  <c r="L72" i="79"/>
  <c r="L71" i="79"/>
  <c r="L70" i="79"/>
  <c r="L69" i="79"/>
  <c r="L68" i="79"/>
  <c r="L67" i="79"/>
  <c r="L66" i="79"/>
  <c r="L65" i="79"/>
  <c r="L64" i="79"/>
  <c r="L63" i="79"/>
  <c r="L62" i="79"/>
  <c r="L61" i="79"/>
  <c r="L60" i="79"/>
  <c r="L59" i="79"/>
  <c r="C6" i="16"/>
  <c r="C9" i="15"/>
  <c r="C8" i="15"/>
  <c r="C6" i="15"/>
  <c r="H5" i="15"/>
  <c r="H4" i="15"/>
  <c r="AA30" i="20"/>
  <c r="H30" i="20"/>
  <c r="H23" i="20"/>
  <c r="F30" i="20"/>
  <c r="Z26" i="20"/>
  <c r="H25" i="20"/>
  <c r="C21" i="20"/>
  <c r="C26" i="20"/>
  <c r="B30" i="20"/>
  <c r="G26" i="20"/>
  <c r="D30" i="20"/>
  <c r="L30" i="20"/>
  <c r="AA32" i="20"/>
  <c r="H26" i="20"/>
  <c r="G29" i="20"/>
  <c r="I31" i="20"/>
  <c r="D31" i="20"/>
  <c r="G24" i="20"/>
  <c r="H29" i="20"/>
  <c r="H31" i="20"/>
  <c r="G23" i="20"/>
  <c r="F21" i="20"/>
  <c r="C24" i="20"/>
  <c r="M29" i="20"/>
  <c r="L23" i="20"/>
  <c r="Z29" i="20"/>
  <c r="AA31" i="20"/>
  <c r="Z28" i="20"/>
  <c r="AA27" i="20"/>
  <c r="H24" i="20"/>
  <c r="B25" i="20"/>
  <c r="F23" i="20"/>
  <c r="L28" i="20"/>
  <c r="B31" i="20"/>
  <c r="F24" i="20"/>
  <c r="AA28" i="20"/>
  <c r="C25" i="20"/>
  <c r="M31" i="20"/>
  <c r="B29" i="20"/>
  <c r="F29" i="20"/>
  <c r="B27" i="20"/>
  <c r="D21" i="20"/>
  <c r="G30" i="20"/>
  <c r="B21" i="20"/>
  <c r="I29" i="20"/>
  <c r="H28" i="20"/>
  <c r="C22" i="20"/>
  <c r="M22" i="20"/>
  <c r="H21" i="20"/>
  <c r="I23" i="20"/>
  <c r="C27" i="20"/>
  <c r="Z30" i="20"/>
  <c r="Z27" i="20"/>
  <c r="AA29" i="20"/>
  <c r="D24" i="20"/>
  <c r="L29" i="20"/>
  <c r="G25" i="20"/>
  <c r="Z31" i="20"/>
  <c r="M24" i="20"/>
  <c r="M30" i="20"/>
  <c r="G22" i="20"/>
  <c r="D22" i="20"/>
  <c r="AA25" i="20"/>
  <c r="L25" i="20"/>
  <c r="M26" i="20"/>
  <c r="I24" i="20"/>
  <c r="G28" i="20"/>
  <c r="B28" i="20"/>
  <c r="B23" i="20"/>
  <c r="M25" i="20"/>
  <c r="F28" i="20"/>
  <c r="F31" i="20"/>
  <c r="Z25" i="20"/>
  <c r="L22" i="20"/>
  <c r="F25" i="20"/>
  <c r="I22" i="20"/>
  <c r="B26" i="20"/>
  <c r="G21" i="20"/>
  <c r="C30" i="20"/>
  <c r="H22" i="20"/>
  <c r="C28" i="20"/>
  <c r="L26" i="20"/>
  <c r="D23" i="20"/>
  <c r="F22" i="20"/>
  <c r="I26" i="20"/>
  <c r="B24" i="20"/>
  <c r="M21" i="20"/>
  <c r="H27" i="20"/>
  <c r="I28" i="20"/>
  <c r="D25" i="20"/>
  <c r="M27" i="20"/>
  <c r="G27" i="20"/>
  <c r="I30" i="20"/>
  <c r="C31" i="20"/>
  <c r="I25" i="20"/>
  <c r="L27" i="20"/>
  <c r="F27" i="20"/>
  <c r="I21" i="20"/>
  <c r="C29" i="20"/>
  <c r="B22" i="20"/>
  <c r="Z32" i="20"/>
  <c r="M23" i="20"/>
  <c r="L24" i="20"/>
  <c r="D29" i="20"/>
  <c r="C23" i="20"/>
  <c r="F26" i="20"/>
  <c r="D28" i="20"/>
  <c r="M28" i="20"/>
  <c r="D27" i="20"/>
  <c r="D26" i="20"/>
  <c r="G31" i="20"/>
  <c r="AA26" i="20"/>
  <c r="I27" i="20"/>
  <c r="L31" i="20"/>
  <c r="L21" i="20"/>
</calcChain>
</file>

<file path=xl/sharedStrings.xml><?xml version="1.0" encoding="utf-8"?>
<sst xmlns="http://schemas.openxmlformats.org/spreadsheetml/2006/main" count="2836" uniqueCount="710">
  <si>
    <t>04:00</t>
  </si>
  <si>
    <t>08:00</t>
  </si>
  <si>
    <t>12:00</t>
  </si>
  <si>
    <t>16:00</t>
  </si>
  <si>
    <t>20:00</t>
  </si>
  <si>
    <t>00:00</t>
  </si>
  <si>
    <t>03:30</t>
  </si>
  <si>
    <t>&lt;3</t>
  </si>
  <si>
    <t>3-7</t>
  </si>
  <si>
    <t>7-11</t>
  </si>
  <si>
    <t>11+</t>
  </si>
  <si>
    <t>Жене</t>
  </si>
  <si>
    <t>Мушкарци</t>
  </si>
  <si>
    <t>65+</t>
  </si>
  <si>
    <t>04:30</t>
  </si>
  <si>
    <t>05:00</t>
  </si>
  <si>
    <t>05:30</t>
  </si>
  <si>
    <t>06:00</t>
  </si>
  <si>
    <t>06:30</t>
  </si>
  <si>
    <t>07.00</t>
  </si>
  <si>
    <t>07.30</t>
  </si>
  <si>
    <t>08:30</t>
  </si>
  <si>
    <t>09:00</t>
  </si>
  <si>
    <t>09.30</t>
  </si>
  <si>
    <t>10:00</t>
  </si>
  <si>
    <t>10:30</t>
  </si>
  <si>
    <t>11:30</t>
  </si>
  <si>
    <t>11:00</t>
  </si>
  <si>
    <t>12:30</t>
  </si>
  <si>
    <t>13:00</t>
  </si>
  <si>
    <t>13:30</t>
  </si>
  <si>
    <t>14:00</t>
  </si>
  <si>
    <t>14:30</t>
  </si>
  <si>
    <t>15:00</t>
  </si>
  <si>
    <t>15:30</t>
  </si>
  <si>
    <t>16:30</t>
  </si>
  <si>
    <t>17:00</t>
  </si>
  <si>
    <t>17:30</t>
  </si>
  <si>
    <t>18:00</t>
  </si>
  <si>
    <t>18:30</t>
  </si>
  <si>
    <t>19:00</t>
  </si>
  <si>
    <t>19:30</t>
  </si>
  <si>
    <t>21:00</t>
  </si>
  <si>
    <t>20:30</t>
  </si>
  <si>
    <t>21:30</t>
  </si>
  <si>
    <t>22:00</t>
  </si>
  <si>
    <t>22:30</t>
  </si>
  <si>
    <t>23:00</t>
  </si>
  <si>
    <t>23:30</t>
  </si>
  <si>
    <t>00:30</t>
  </si>
  <si>
    <t>01:00</t>
  </si>
  <si>
    <t>01:30</t>
  </si>
  <si>
    <t>02:00</t>
  </si>
  <si>
    <t>02:30</t>
  </si>
  <si>
    <t>03:00</t>
  </si>
  <si>
    <t/>
  </si>
  <si>
    <t>07:00</t>
  </si>
  <si>
    <t>07:30</t>
  </si>
  <si>
    <t>09:30</t>
  </si>
  <si>
    <t>Дани викенда</t>
  </si>
  <si>
    <t>Радни дани</t>
  </si>
  <si>
    <t>Ресторан</t>
  </si>
  <si>
    <t>Остала места</t>
  </si>
  <si>
    <t>У кући</t>
  </si>
  <si>
    <t>Кућа других људи</t>
  </si>
  <si>
    <t>Незапослени</t>
  </si>
  <si>
    <t>Незапослене</t>
  </si>
  <si>
    <t>Запослени</t>
  </si>
  <si>
    <t>Запослене</t>
  </si>
  <si>
    <t>Одржавање домаћинства</t>
  </si>
  <si>
    <t>Брига о текстилу</t>
  </si>
  <si>
    <t>Брига о детету</t>
  </si>
  <si>
    <t>Куповина и услуге</t>
  </si>
  <si>
    <t>Путовање у вези неплаћеног посла</t>
  </si>
  <si>
    <t>Бављење храном</t>
  </si>
  <si>
    <t>Остала брига о домаћинству и породици</t>
  </si>
  <si>
    <t>Баштованство и брига о кућним љубимцима</t>
  </si>
  <si>
    <t>Сам</t>
  </si>
  <si>
    <t>Са другим лицима</t>
  </si>
  <si>
    <t>Са чланом домаћинства</t>
  </si>
  <si>
    <t>Гледање слагалице</t>
  </si>
  <si>
    <t>15-64 година</t>
  </si>
  <si>
    <t>65+ година</t>
  </si>
  <si>
    <t>Укупно</t>
  </si>
  <si>
    <t>Много више стресан</t>
  </si>
  <si>
    <t>Нешто више стресан</t>
  </si>
  <si>
    <t>Стресан као пре пандемије</t>
  </si>
  <si>
    <t>Нешто мање стресан</t>
  </si>
  <si>
    <t>Много мање стресан</t>
  </si>
  <si>
    <t>У браку/ заједници без детета до 17 година</t>
  </si>
  <si>
    <t>У браку/ заједници са најмлађим дететом од 0 до 6 година</t>
  </si>
  <si>
    <t>У браку/ заједници са најмлађим дететом од 7 до 17 година</t>
  </si>
  <si>
    <t>Лица ван брака са дететом до 17 година</t>
  </si>
  <si>
    <t>Лица ван брака без детета до 17 година</t>
  </si>
  <si>
    <t>Нимало стресан</t>
  </si>
  <si>
    <t>Не толико стресан</t>
  </si>
  <si>
    <t>Помало стресан</t>
  </si>
  <si>
    <t>Прилично стресан</t>
  </si>
  <si>
    <t>Изузетно стресан</t>
  </si>
  <si>
    <t>15-29 година</t>
  </si>
  <si>
    <t>30-64 година</t>
  </si>
  <si>
    <t>жене</t>
  </si>
  <si>
    <t>мушкарци</t>
  </si>
  <si>
    <t>укупно</t>
  </si>
  <si>
    <t>%</t>
  </si>
  <si>
    <t>15-29</t>
  </si>
  <si>
    <t>30-64</t>
  </si>
  <si>
    <t>Лице је само током епизоде</t>
  </si>
  <si>
    <t>Лице је са неким чланом домаћинства, без друге особе коју познаје</t>
  </si>
  <si>
    <t>Лице је са неким чланом домаћинства и присутна је друга особа коју познаје (није члан домаћинства)</t>
  </si>
  <si>
    <t>Лице је са другом особом коју познаје (није присутан члан домаћинства)</t>
  </si>
  <si>
    <t>2010/2011</t>
  </si>
  <si>
    <t>2021/2022</t>
  </si>
  <si>
    <t>Плаћени посао</t>
  </si>
  <si>
    <t>Неплаћени посао</t>
  </si>
  <si>
    <t>Учење</t>
  </si>
  <si>
    <t>Личне потребе</t>
  </si>
  <si>
    <t>Слободно време</t>
  </si>
  <si>
    <t>Остало</t>
  </si>
  <si>
    <t>Просечно време</t>
  </si>
  <si>
    <t>Учешће становништва у обављању активности</t>
  </si>
  <si>
    <t>Просечно време оних који су обављали активности</t>
  </si>
  <si>
    <t>Сви дани</t>
  </si>
  <si>
    <t>39,3</t>
  </si>
  <si>
    <t>56,5</t>
  </si>
  <si>
    <t>47,6</t>
  </si>
  <si>
    <t>16,2</t>
  </si>
  <si>
    <t>28,2</t>
  </si>
  <si>
    <t>22,0</t>
  </si>
  <si>
    <t>32,7</t>
  </si>
  <si>
    <t>48,4</t>
  </si>
  <si>
    <t>40,3</t>
  </si>
  <si>
    <t>93,0</t>
  </si>
  <si>
    <t>76,4</t>
  </si>
  <si>
    <t>85,0</t>
  </si>
  <si>
    <t>94,1</t>
  </si>
  <si>
    <t>78,4</t>
  </si>
  <si>
    <t>86,5</t>
  </si>
  <si>
    <t>93,3</t>
  </si>
  <si>
    <t>77,0</t>
  </si>
  <si>
    <t>85,4</t>
  </si>
  <si>
    <t>9,4</t>
  </si>
  <si>
    <t>8,0</t>
  </si>
  <si>
    <t>8,7</t>
  </si>
  <si>
    <t>5,7</t>
  </si>
  <si>
    <t>5,8</t>
  </si>
  <si>
    <t>8,4</t>
  </si>
  <si>
    <t>7,3</t>
  </si>
  <si>
    <t>7,9</t>
  </si>
  <si>
    <t>100,0</t>
  </si>
  <si>
    <t>98,7</t>
  </si>
  <si>
    <t>98,9</t>
  </si>
  <si>
    <t>98,8</t>
  </si>
  <si>
    <t>99,7</t>
  </si>
  <si>
    <t>99,4</t>
  </si>
  <si>
    <t>99,5</t>
  </si>
  <si>
    <t>99,0</t>
  </si>
  <si>
    <t>99,1</t>
  </si>
  <si>
    <t>2,8</t>
  </si>
  <si>
    <t>4,2</t>
  </si>
  <si>
    <t>3,5</t>
  </si>
  <si>
    <t>2,5</t>
  </si>
  <si>
    <t>3,8</t>
  </si>
  <si>
    <t>3,1</t>
  </si>
  <si>
    <t>2,7</t>
  </si>
  <si>
    <t>4,1</t>
  </si>
  <si>
    <t>3,4</t>
  </si>
  <si>
    <t>Остале активности</t>
  </si>
  <si>
    <t>Слоодно време</t>
  </si>
  <si>
    <t>30-64 године</t>
  </si>
  <si>
    <t>24,5</t>
  </si>
  <si>
    <t>39,2</t>
  </si>
  <si>
    <t>49,0</t>
  </si>
  <si>
    <t>66,3</t>
  </si>
  <si>
    <t>5,5</t>
  </si>
  <si>
    <t>10,9</t>
  </si>
  <si>
    <t>86,0</t>
  </si>
  <si>
    <t>61,9</t>
  </si>
  <si>
    <t>96,0</t>
  </si>
  <si>
    <t>79,1</t>
  </si>
  <si>
    <t>92,5</t>
  </si>
  <si>
    <t>85,3</t>
  </si>
  <si>
    <t>44,3</t>
  </si>
  <si>
    <t>35,6</t>
  </si>
  <si>
    <t>1,3</t>
  </si>
  <si>
    <t>0,3</t>
  </si>
  <si>
    <t>0,2</t>
  </si>
  <si>
    <t>0,1</t>
  </si>
  <si>
    <t>99,3</t>
  </si>
  <si>
    <t>98,4</t>
  </si>
  <si>
    <t>98,5</t>
  </si>
  <si>
    <t>99,9</t>
  </si>
  <si>
    <t>3,3</t>
  </si>
  <si>
    <t>6,7</t>
  </si>
  <si>
    <t>Градска насеља</t>
  </si>
  <si>
    <t>Остала насеља</t>
  </si>
  <si>
    <t>33,2</t>
  </si>
  <si>
    <t>45,9</t>
  </si>
  <si>
    <t>31,9</t>
  </si>
  <si>
    <t>51,9</t>
  </si>
  <si>
    <t>94,2</t>
  </si>
  <si>
    <t>76,6</t>
  </si>
  <si>
    <t>91,9</t>
  </si>
  <si>
    <t>77,5</t>
  </si>
  <si>
    <t>9,9</t>
  </si>
  <si>
    <t>8,5</t>
  </si>
  <si>
    <t>5,9</t>
  </si>
  <si>
    <t>2,6</t>
  </si>
  <si>
    <t>4,0</t>
  </si>
  <si>
    <t>Средње образовање</t>
  </si>
  <si>
    <t>Основно образовање или ниже</t>
  </si>
  <si>
    <t>Више / високо образовање</t>
  </si>
  <si>
    <t>У браку/заједници без детета до 17 година</t>
  </si>
  <si>
    <t>У браку/заједници са најмлађим дететом од 0 до 6 година</t>
  </si>
  <si>
    <t>У браку/заједници са најмлађим дететом од 7 до 17 година</t>
  </si>
  <si>
    <t>Лица која нису запослена</t>
  </si>
  <si>
    <t>Запослена лица</t>
  </si>
  <si>
    <t>Укупан посао</t>
  </si>
  <si>
    <t>Остала места / превозно средство</t>
  </si>
  <si>
    <t>Неодређено место /превозно средство</t>
  </si>
  <si>
    <t>Кућа</t>
  </si>
  <si>
    <t>Ресторан / хотел / самопослуга</t>
  </si>
  <si>
    <t>Радно место / школа</t>
  </si>
  <si>
    <t>а35 Изградња и поправке</t>
  </si>
  <si>
    <t>а32 Одржавање домаћинства</t>
  </si>
  <si>
    <t>а37 Вођење домаћинства</t>
  </si>
  <si>
    <t>а33 Брига о текстилу</t>
  </si>
  <si>
    <t>а36 Куповина и услуге</t>
  </si>
  <si>
    <t>а38 Брига о детету</t>
  </si>
  <si>
    <t>а93 Путовање у вези неплаћеног посла</t>
  </si>
  <si>
    <t>а31 Бављење храном</t>
  </si>
  <si>
    <t>а30 Неодређена брига о домаћинству и породици</t>
  </si>
  <si>
    <t>а39 Помоћ одраслом члану домаћинства</t>
  </si>
  <si>
    <t>а34 Баштованство и брига о кућним љубимцима</t>
  </si>
  <si>
    <t>Изградња и поправке</t>
  </si>
  <si>
    <t>Вођење домаћинства</t>
  </si>
  <si>
    <t>Помоћ одраслом члану домаћинства</t>
  </si>
  <si>
    <t>Минути</t>
  </si>
  <si>
    <t>34,1</t>
  </si>
  <si>
    <t>134,9</t>
  </si>
  <si>
    <t>53,2</t>
  </si>
  <si>
    <t>63,5</t>
  </si>
  <si>
    <t>39,0</t>
  </si>
  <si>
    <t>67,7</t>
  </si>
  <si>
    <t>69,8</t>
  </si>
  <si>
    <t>26,9</t>
  </si>
  <si>
    <t>2,2</t>
  </si>
  <si>
    <t>26,2</t>
  </si>
  <si>
    <t>17,3</t>
  </si>
  <si>
    <t>11,1</t>
  </si>
  <si>
    <t>146,1</t>
  </si>
  <si>
    <t>38,8</t>
  </si>
  <si>
    <t>37,4</t>
  </si>
  <si>
    <t>41,6</t>
  </si>
  <si>
    <t>39,5</t>
  </si>
  <si>
    <t>20,4</t>
  </si>
  <si>
    <t>19,5</t>
  </si>
  <si>
    <t>84,1</t>
  </si>
  <si>
    <t>121,7</t>
  </si>
  <si>
    <t>38,4</t>
  </si>
  <si>
    <t>37,9</t>
  </si>
  <si>
    <t>38,9</t>
  </si>
  <si>
    <t>4,9</t>
  </si>
  <si>
    <t>14,0</t>
  </si>
  <si>
    <t>92,9</t>
  </si>
  <si>
    <t>266,9</t>
  </si>
  <si>
    <t>160,0</t>
  </si>
  <si>
    <t>10:00:00 АМ</t>
  </si>
  <si>
    <t>6:00:00 ПМ</t>
  </si>
  <si>
    <t>8:00:00 ПМ</t>
  </si>
  <si>
    <t>а93</t>
  </si>
  <si>
    <t>Радни дани Жене</t>
  </si>
  <si>
    <t>Меан</t>
  </si>
  <si>
    <t>дани викенда</t>
  </si>
  <si>
    <t>Број дневника</t>
  </si>
  <si>
    <t>Пензионер</t>
  </si>
  <si>
    <t>радни дани</t>
  </si>
  <si>
    <t>ТВ и радио програм</t>
  </si>
  <si>
    <t>Незапослен</t>
  </si>
  <si>
    <t>Запослен</t>
  </si>
  <si>
    <t>сви дани</t>
  </si>
  <si>
    <t>Хотел, пансион и камп</t>
  </si>
  <si>
    <t>Неодређено превозно средство</t>
  </si>
  <si>
    <t>Остала приватна превозна средства</t>
  </si>
  <si>
    <t>Спорт и активности на отвореном</t>
  </si>
  <si>
    <t>Читање</t>
  </si>
  <si>
    <t>Остале акт. - одржавање домаћ.</t>
  </si>
  <si>
    <t>Вожња у јавном превозу</t>
  </si>
  <si>
    <t>Укупно (место/превозно средство)</t>
  </si>
  <si>
    <t>На пример, ако је место где се обављао плаћени посао категорија Радно место или скола (Укупно, Жене)</t>
  </si>
  <si>
    <t xml:space="preserve">Када се гледају све жене старости 15+, само активности 111, 121 и 129, онда су </t>
  </si>
  <si>
    <t>Брига о детету као главна активност</t>
  </si>
  <si>
    <t>Брига о детету као паралелна активност</t>
  </si>
  <si>
    <t>Слободно време, дете присутно</t>
  </si>
  <si>
    <t>Послови у кући, дете присутно</t>
  </si>
  <si>
    <t>Обавља кућне послове у свом домаћинству</t>
  </si>
  <si>
    <t>Прање судова / посуђа</t>
  </si>
  <si>
    <t>Хобији и рад на компјутеру</t>
  </si>
  <si>
    <t>Путовање у вези са слободним временом</t>
  </si>
  <si>
    <t>Направити нови графикон!</t>
  </si>
  <si>
    <t>Ресторан, кафић или кафана</t>
  </si>
  <si>
    <t>Исхрана, дете присутно</t>
  </si>
  <si>
    <t>Остала неактивна лица</t>
  </si>
  <si>
    <t>Волонтерски рад и састанци</t>
  </si>
  <si>
    <t>Мали број случајева</t>
  </si>
  <si>
    <t>Вожња у путничком аутомобилу</t>
  </si>
  <si>
    <t>се рачуна као 341.86/388.92 и помножи са 100 и добија се 87.9%</t>
  </si>
  <si>
    <t>Тумачење:</t>
  </si>
  <si>
    <t>Ученик, студент</t>
  </si>
  <si>
    <t>Припрема и печење хране</t>
  </si>
  <si>
    <t>Табела за Графикон 4. Просечно време проведено у активностима, становништво старости 15 и више година, према највишем степену образовања и полу; сви дани, Република Србија, 2021/2022 (у минутима)</t>
  </si>
  <si>
    <t>Напомена: још прелиминарни подаци, нису потврђени од Евростата
За Графикон 4 нове публикације (видети Графикон 4, страна 24, Коришћење времена у Републици Србији 2010/2011)</t>
  </si>
  <si>
    <t>Табела за Графикон 5. Просечно време проведено у активностима, становништво старости 15 и више година, према статусу у запослености по сопственој изјави и полу; сви дани, Република Србија, 2021/2022 (у минутима)</t>
  </si>
  <si>
    <t>Табела за нов графикон 8а. Просечно време на плаћеном и неплаћеном послу, становништво старости 15-64 године, према врсти дана и полу, Република Србија, 2021/2022 (у минутима)</t>
  </si>
  <si>
    <t>Напомена: још прелиминарни подаци, нису потврђени од Евростата
Према графикону 4, страна 23, Коришћење времена у Републици Србији 2010. и 2015. године</t>
  </si>
  <si>
    <t>Напомена: још прелиминарни подаци, нису потврђени од Евростата
Према графикону 8, страна 37, Коришћење времена у Републици Србији 2010/2011</t>
  </si>
  <si>
    <t>Радни дани Мушкарци</t>
  </si>
  <si>
    <t>Неодређено место дешавања/превозно средство</t>
  </si>
  <si>
    <t>Неодређено место дешавања (није путовање)</t>
  </si>
  <si>
    <t>Радно место или школа</t>
  </si>
  <si>
    <t>Самопослуга, продавница и шопинг центар</t>
  </si>
  <si>
    <t>Остала места дешавања (није путовање)</t>
  </si>
  <si>
    <t>Ходање пешице</t>
  </si>
  <si>
    <t>Напомена: плаћени рад укључује шифре 111, 121 и 129, не и шифру 910</t>
  </si>
  <si>
    <t>(За графикон 10) - Просечно време за плаћени рад, за места превозна средства; према врсти дана и полу, становништво 15+, Република Србија, 2021/2022 (у минутима)</t>
  </si>
  <si>
    <t>За прављење графикона 10 се узима ова табела (жуто обележен део, колона Укупно), а не она са Учешћем (следећа)!</t>
  </si>
  <si>
    <t>оне у обављању плаћених активности провеле на локацији Радно место или школа 87,9% свог просечног времена.</t>
  </si>
  <si>
    <t>87,9% свог времена у обављању плаћених активности жене су провеле на локацији Радно место или школа!</t>
  </si>
  <si>
    <t>Табела 3. Просечно време оних који су обављали активности, становништво старости 15 и више година, према полу и врсти дана, Република Србија, 2021/2022 (у минутима)</t>
  </si>
  <si>
    <t>Напомена: још прелиминарни подаци, нису потврђени од Евростата
Табеле 1 до 3 за нову публикацију (Табеле 1 до 3, стране 18, 19 и 20, Истраживање о коришћењу времена 2010/2011</t>
  </si>
  <si>
    <t>Друштвени живот и забава</t>
  </si>
  <si>
    <t>Мушкарци који нису запослени</t>
  </si>
  <si>
    <t>Одмарање</t>
  </si>
  <si>
    <t>Путовање</t>
  </si>
  <si>
    <t>Лице је само са партнером током епизоде</t>
  </si>
  <si>
    <t>Лице је само са дететом 0-17 током епизоде</t>
  </si>
  <si>
    <t>Тип насеља</t>
  </si>
  <si>
    <t>Процена лица, 2019.</t>
  </si>
  <si>
    <t>Узорак</t>
  </si>
  <si>
    <t>Две седмице</t>
  </si>
  <si>
    <t>Година</t>
  </si>
  <si>
    <t>Број лица 15+</t>
  </si>
  <si>
    <t>Београдски регион</t>
  </si>
  <si>
    <t>Г</t>
  </si>
  <si>
    <t>О</t>
  </si>
  <si>
    <t>Регион Војводине</t>
  </si>
  <si>
    <t>Регион Шумадије и Западне Србије</t>
  </si>
  <si>
    <t>Регион Јужне и Источне Србије</t>
  </si>
  <si>
    <t>Жене које су запослене</t>
  </si>
  <si>
    <t>Мушкарци који су запослени</t>
  </si>
  <si>
    <t>Жене које нису запослене</t>
  </si>
  <si>
    <t>65 +</t>
  </si>
  <si>
    <t>Графикон 8. Укупан посао према дужини плаћеног посла, становништво старости 15 и више година, према полу, радни дани, Република Србија, 2021/2022 (у минутима)</t>
  </si>
  <si>
    <t>Број лица</t>
  </si>
  <si>
    <t>Табела за Графикон 32. Време проведено с ким, становништво старости 15 и више година, према старости и полу; сви дани, Република Србија, 2021/2022 (БРОЈ ДНЕВНИКА)</t>
  </si>
  <si>
    <t>6:00:00 АМ</t>
  </si>
  <si>
    <t>2:00:00 АМ</t>
  </si>
  <si>
    <t>2:00:00 ПМ</t>
  </si>
  <si>
    <t>10:00:00 ПМ</t>
  </si>
  <si>
    <t>Остале комбинације</t>
  </si>
  <si>
    <t>Табела Б. Пример дневника 2021/2022. године</t>
  </si>
  <si>
    <t>Табела В. Приказ података према основним мерама истраживања, становништво старости 15 и више година, према полу; сви дани, Република Србија, 2021/2022.</t>
  </si>
  <si>
    <t>Табела 8. Учешће у обављању и 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(% и минути)</t>
  </si>
  <si>
    <t xml:space="preserve"> Графикон 25. Просечно време проведено у слободним активностима, ниво активности 2, становништво старости 15 и више година, према полу; сви дани, Република Србија, 2021/2022. (у минутима)</t>
  </si>
  <si>
    <t xml:space="preserve">Графикон 9. Укупан и неплаћени посао, становништво старости 15 и више година, према полу; радни дани, Република Србија, 2021/2022. (%) </t>
  </si>
  <si>
    <t>Ученик, студeнт</t>
  </si>
  <si>
    <t>RADNI DANI, MUŠKARCI 20-64 GODINA (aktivnosti posle plaćenog posla, 15-19 časova)</t>
  </si>
  <si>
    <t>Šifre: 300-392, 936, 938, 939 (NEPLAĆENI POSAO)</t>
  </si>
  <si>
    <t>Šifre: 411-831, 940, 950, 960 (Slobodno vreme)</t>
  </si>
  <si>
    <t>Šifre: 821, 822 (TV)</t>
  </si>
  <si>
    <t>Šifre: 900, 980, 995, 998, 999 (Ostalo)</t>
  </si>
  <si>
    <t>Row N %</t>
  </si>
  <si>
    <t>f1</t>
  </si>
  <si>
    <t>f2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</si>
  <si>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</si>
  <si>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</si>
  <si>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</si>
  <si>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</si>
  <si>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</si>
  <si>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</si>
  <si>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</si>
  <si>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</si>
  <si>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</si>
  <si>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</si>
  <si>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</si>
  <si>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</si>
  <si>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</si>
  <si>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</si>
  <si>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</si>
  <si>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</si>
  <si>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</si>
  <si>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</si>
  <si>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</si>
  <si>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</si>
  <si>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</si>
  <si>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</si>
  <si>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</si>
  <si>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</si>
  <si>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</si>
  <si>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</si>
  <si>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</si>
  <si>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</si>
  <si>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</si>
  <si>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</si>
  <si>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</si>
  <si>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</si>
  <si>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</si>
  <si>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</si>
  <si>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RADNI DANI, ŽENE 20-64 GODINA (aktivnosti posle plaćenog posla, 15-19 časova)</t>
  </si>
  <si>
    <t>Оброци</t>
  </si>
  <si>
    <t>Спавање</t>
  </si>
  <si>
    <t>ТВ</t>
  </si>
  <si>
    <t>Šifre: 021, 022, 023 (Obrok/ pušenje)</t>
  </si>
  <si>
    <t>Šifre: 011, 012, 031, 032, 039 (Spavanje/ lična nega)</t>
  </si>
  <si>
    <t>Šifre: 011, 012, 031, 032, 039 (Spavanje /lična nega)</t>
  </si>
  <si>
    <t>Табела 9. Просечно време проведено у активностима, становништво старости 15 и више година, према полу; сви дани, Република Србија, 2010/2011. и 2021/2022. (у сатима)</t>
  </si>
  <si>
    <t>02:09</t>
  </si>
  <si>
    <t>04:51</t>
  </si>
  <si>
    <t>00:25</t>
  </si>
  <si>
    <t>11:13</t>
  </si>
  <si>
    <t>05:18</t>
  </si>
  <si>
    <t>00:01</t>
  </si>
  <si>
    <t>03:47</t>
  </si>
  <si>
    <t>02:16</t>
  </si>
  <si>
    <t>00:19</t>
  </si>
  <si>
    <t>11:05</t>
  </si>
  <si>
    <t>06:29</t>
  </si>
  <si>
    <t>02:23</t>
  </si>
  <si>
    <t>04:09</t>
  </si>
  <si>
    <t>00:26</t>
  </si>
  <si>
    <t>11:33</t>
  </si>
  <si>
    <t>05:27</t>
  </si>
  <si>
    <t>03:56</t>
  </si>
  <si>
    <t>02:03</t>
  </si>
  <si>
    <t>00:24</t>
  </si>
  <si>
    <t>11:22</t>
  </si>
  <si>
    <t>06:11</t>
  </si>
  <si>
    <t>Табела (за Графикон 31). Стрес пре и после пандемије, становништво старости 15 и више година, према полу; сви дани, Република Србија, 2021/2022. (%)</t>
  </si>
  <si>
    <t>Оцена стреса у животу сада и пре пандемије</t>
  </si>
  <si>
    <r>
      <rPr>
        <b/>
        <sz val="10"/>
        <color rgb="FF0067B1"/>
        <rFont val="Arial"/>
        <family val="2"/>
      </rPr>
      <t>Графикон 31.</t>
    </r>
    <r>
      <rPr>
        <b/>
        <sz val="10"/>
        <color theme="1"/>
        <rFont val="Arial"/>
        <family val="2"/>
      </rPr>
      <t xml:space="preserve"> Стрес пре и после пандемије, становништво старости 15 и више година, према полу; сви дани, Република Србија, 2021/2022. (%)</t>
    </r>
  </si>
  <si>
    <t>Табела (за Графикон 30). Стрес међу становништвом старости 15 и више година, према породичном саставу и полу; сви дани, Република Србија, 2021/2022. (%)</t>
  </si>
  <si>
    <r>
      <rPr>
        <b/>
        <sz val="10"/>
        <color rgb="FF0067B1"/>
        <rFont val="Arial"/>
        <family val="2"/>
      </rPr>
      <t xml:space="preserve">Графикон 30. </t>
    </r>
    <r>
      <rPr>
        <b/>
        <sz val="10"/>
        <color theme="1"/>
        <rFont val="Arial"/>
        <family val="2"/>
      </rPr>
      <t>Стрес међу становништвом старости 15 и више година, према породичном саставу и полу; сви дани, Република Србија, 2021/2022. (%)</t>
    </r>
  </si>
  <si>
    <t>Оцена стреса у животу</t>
  </si>
  <si>
    <t>Табела (за Графикон 29). Гледање Слагалице, становништво старости 15 и више година, према полу и старости; сви дани, Република Србија, 2021/2022. (%)</t>
  </si>
  <si>
    <r>
      <rPr>
        <b/>
        <sz val="10"/>
        <color rgb="FF0067B1"/>
        <rFont val="Arial"/>
        <family val="2"/>
      </rPr>
      <t xml:space="preserve">Графикон 29. </t>
    </r>
    <r>
      <rPr>
        <b/>
        <sz val="10"/>
        <color theme="1"/>
        <rFont val="Arial"/>
        <family val="2"/>
      </rPr>
      <t>Гледање Слагалице, становништво старости 15 и више година, према полу и старости; сви дани, Република Србија, 2021/2022. (%)</t>
    </r>
  </si>
  <si>
    <t>Табела (за Графикон 28). Гледање квиза ТВ Слагалица, становништво старости 15 и више година, према полу; сви дани, Република Србија, 2021/2022. (%)</t>
  </si>
  <si>
    <r>
      <rPr>
        <b/>
        <sz val="10"/>
        <color rgb="FF0067B1"/>
        <rFont val="Arial"/>
        <family val="2"/>
      </rPr>
      <t xml:space="preserve">Графикон 28. </t>
    </r>
    <r>
      <rPr>
        <b/>
        <sz val="10"/>
        <color theme="1"/>
        <rFont val="Arial"/>
        <family val="2"/>
      </rPr>
      <t>Гледање квиза ТВ Слагалица, становништво старости 15 и више година, према полу; сви дани, Република Србија, 2021/2022. (%)</t>
    </r>
  </si>
  <si>
    <t>Табела (за Графикон 27). Просечно време проведено у слободним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</t>
  </si>
  <si>
    <r>
      <rPr>
        <b/>
        <sz val="10"/>
        <color rgb="FF0067B1"/>
        <rFont val="Arial"/>
        <family val="2"/>
      </rPr>
      <t xml:space="preserve">Графикон 27. </t>
    </r>
    <r>
      <rPr>
        <b/>
        <sz val="10"/>
        <color theme="1"/>
        <rFont val="Arial"/>
        <family val="2"/>
      </rPr>
      <t>Просечно време проведено у слободним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</t>
    </r>
  </si>
  <si>
    <t>Табела (за Графикон 26). Просечно време проведено у слободним активностима, ниво активности 1 и 2, становништво старости 15 и више година, према породичном саставу и полу; сви дани, Република Србија, 2021/2022. (у минутима)</t>
  </si>
  <si>
    <r>
      <rPr>
        <b/>
        <sz val="10"/>
        <color rgb="FF0067B1"/>
        <rFont val="Arial"/>
        <family val="2"/>
      </rPr>
      <t>Графикон 26</t>
    </r>
    <r>
      <rPr>
        <b/>
        <sz val="10"/>
        <color theme="1"/>
        <rFont val="Arial"/>
        <family val="2"/>
      </rPr>
      <t>. Просечно време проведено у слободним активностима, ниво активности 1 и 2, становништво старости 15 и више година, према породичном саставу и полу; сви дани, Република Србија, 2021/2022. (у минутима)</t>
    </r>
  </si>
  <si>
    <t>Табела (за Графикон 25). Просечно време проведено у слободним активностима, ниво активности 2, становништво старости 15 и више година, према полу; сви дани, Република Србија, 2021/2022. (у минутима)</t>
  </si>
  <si>
    <r>
      <rPr>
        <b/>
        <sz val="10"/>
        <color rgb="FF0067B1"/>
        <rFont val="Arial"/>
        <family val="2"/>
      </rPr>
      <t>Графикон 25</t>
    </r>
    <r>
      <rPr>
        <b/>
        <sz val="10"/>
        <color theme="1"/>
        <rFont val="Arial"/>
        <family val="2"/>
      </rPr>
      <t>. Просечно време проведено у слободним активностима, ниво активности 2, становништво старости 15 и више година, према полу; сви дани, Република Србија, 2021/2022. (у минутима)</t>
    </r>
  </si>
  <si>
    <t>Слободно време, УКУПНО</t>
  </si>
  <si>
    <t>Табела (за Графикон 24). Просечно време проведено у слободним активностима, становништво старости 15 и више година, према полу; радни дани и дани викенда,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</si>
  <si>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24. </t>
    </r>
    <r>
      <rPr>
        <b/>
        <sz val="10"/>
        <color theme="1"/>
        <rFont val="Arial"/>
        <family val="2"/>
      </rPr>
      <t>Просечно време проведено у слободним активностима, становништво старости 15 и више година, према полу; радни дани и дани викенда, Република Србија, 2021/2022. (у сатима)</t>
    </r>
  </si>
  <si>
    <t>Табела (за Графикон 23). Пијење кафе, становништво старости 15 и више година, према полу; сви дани, Република Србија, 2021/2022. (%)</t>
  </si>
  <si>
    <r>
      <rPr>
        <b/>
        <sz val="10"/>
        <color rgb="FF0067B1"/>
        <rFont val="Arial Bold"/>
      </rPr>
      <t xml:space="preserve">Графикон 23. </t>
    </r>
    <r>
      <rPr>
        <b/>
        <sz val="10"/>
        <color rgb="FF010205"/>
        <rFont val="Arial Bold"/>
        <family val="2"/>
      </rPr>
      <t>Пијење кафе, становништво старости 15 и више година, према полу; сви дани, Република Србија, 2021/2022. (%)</t>
    </r>
  </si>
  <si>
    <r>
      <rPr>
        <b/>
        <sz val="10"/>
        <color rgb="FF0067B1"/>
        <rFont val="Arial"/>
        <family val="2"/>
      </rPr>
      <t xml:space="preserve">Графикон 21. </t>
    </r>
    <r>
      <rPr>
        <b/>
        <sz val="10"/>
        <color theme="1"/>
        <rFont val="Arial"/>
        <family val="2"/>
      </rPr>
      <t>Просечно време проведено у узимању оброка, становништво старости 15 и више година, према присуству других лица и полу; радни дани и дани викенда, Република Србија, 2021/2022. (у минутима)</t>
    </r>
  </si>
  <si>
    <t>Табела (за Графикон 21). Просечно време проведено у узимању оброка, становништво старости 15 и више година, према присуству других лица и полу; радни дани и дани викенда, Република Србија, 2021/2022. (у минутима)</t>
  </si>
  <si>
    <t>Табела (за Графикон 22). Просечно време проведено у узимању оброка, становништво старости 15 и више година, према месту и полу; радни дани и дани викенда, Република Србија, 2021/2022. (у минутима)</t>
  </si>
  <si>
    <r>
      <rPr>
        <b/>
        <sz val="10"/>
        <color rgb="FF0067B1"/>
        <rFont val="Arial"/>
        <family val="2"/>
      </rPr>
      <t xml:space="preserve">Графикон 22. </t>
    </r>
    <r>
      <rPr>
        <b/>
        <sz val="10"/>
        <color theme="1"/>
        <rFont val="Arial"/>
        <family val="2"/>
      </rPr>
      <t>Просечно време проведено у узимању оброка, становништво старости 15 и више година, према месту и полу; радни дани и дани викенда, Република Србија, 2021/2022. (у минутима)</t>
    </r>
  </si>
  <si>
    <t>Брига о детету као
главна активност</t>
  </si>
  <si>
    <t>Брига о детету као
паралелна активност</t>
  </si>
  <si>
    <t>Табела (за Графикон 20). Просечно време проведено у активностима бриге о детету старости 0-17 година, родитељи у пару; сви дани, Република Србија, 2021/2022. (у минутима)</t>
  </si>
  <si>
    <t>Табела (за Графикон 19). Просечно време проведено у активностима бриге о детету, родитељи у пару са најмлађим дететом од 0 до 6 година; сви дани, Република Србија, 2021/2022. (у минутима)</t>
  </si>
  <si>
    <r>
      <rPr>
        <b/>
        <sz val="10"/>
        <color rgb="FF0067B1"/>
        <rFont val="Arial"/>
        <family val="2"/>
      </rPr>
      <t xml:space="preserve">Графикон 19. </t>
    </r>
    <r>
      <rPr>
        <b/>
        <sz val="10"/>
        <color theme="1"/>
        <rFont val="Arial"/>
        <family val="2"/>
      </rPr>
      <t>Просечно време проведено у активностима бриге о детету, родитељи у пару са најмлађим дететом од 0 до 6 година; сви дани, Република Србија, 2021/2022. (у минутима)</t>
    </r>
  </si>
  <si>
    <t>Табела (за Графикон 18). Просечно време проведено у неплаћеним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</t>
  </si>
  <si>
    <r>
      <rPr>
        <b/>
        <sz val="10"/>
        <color rgb="FF0067B1"/>
        <rFont val="Arial"/>
        <family val="2"/>
      </rPr>
      <t xml:space="preserve">Графикон 18. </t>
    </r>
    <r>
      <rPr>
        <b/>
        <sz val="10"/>
        <color theme="1"/>
        <rFont val="Arial"/>
        <family val="2"/>
      </rPr>
      <t>Просечно време проведено у неплаћеним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</t>
    </r>
  </si>
  <si>
    <t>Баштованство и брига о
кућним љубимцима</t>
  </si>
  <si>
    <t>Остала брига о домаћинству
и породици</t>
  </si>
  <si>
    <t>Путовање у вези
неплаћеног посла</t>
  </si>
  <si>
    <t>НЕПЛАЋЕНИ ПОСАО УКУПНО</t>
  </si>
  <si>
    <r>
      <t>Табела (за Графикон 17). Просечно време проведено у неплаћеним активностима, становништво старости 15 и више година, према радном статусу по сопственој изјави и полу; сви дани, Република Србија, 2021/2022 (</t>
    </r>
    <r>
      <rPr>
        <b/>
        <u/>
        <sz val="10"/>
        <color theme="1"/>
        <rFont val="Arial"/>
        <family val="2"/>
      </rPr>
      <t>у сатима</t>
    </r>
    <r>
      <rPr>
        <b/>
        <sz val="10"/>
        <color theme="1"/>
        <rFont val="Arial"/>
        <family val="2"/>
      </rPr>
      <t>)</t>
    </r>
  </si>
  <si>
    <t>Обавља кућне послове у 
свом домаћинству</t>
  </si>
  <si>
    <r>
      <t>Табела (за Графикон 17). Просечно време проведено у неплаћеним активностима, становништво старости 15 и више година, према радном статусу по сопственој изјави и полу; сви дани, Република Србија, 2021/2022. (</t>
    </r>
    <r>
      <rPr>
        <b/>
        <u/>
        <sz val="10"/>
        <color rgb="FF010205"/>
        <rFont val="Arial"/>
        <family val="2"/>
      </rPr>
      <t>у минутима</t>
    </r>
    <r>
      <rPr>
        <b/>
        <sz val="10"/>
        <color rgb="FF010205"/>
        <rFont val="Arial"/>
        <family val="2"/>
      </rPr>
      <t>)</t>
    </r>
  </si>
  <si>
    <r>
      <rPr>
        <b/>
        <sz val="10"/>
        <color rgb="FF0067B1"/>
        <rFont val="Arial"/>
        <family val="2"/>
      </rPr>
      <t>Графикон 17.</t>
    </r>
    <r>
      <rPr>
        <b/>
        <sz val="10"/>
        <color theme="1"/>
        <rFont val="Arial"/>
        <family val="2"/>
      </rPr>
      <t xml:space="preserve"> Просечно време проведено у неплаћеним активностима, становништво старости 15 и више година, према радном статусу по сопственој изјави и полу; сви дани, Република Србија, 2021/2022. (у сатима)</t>
    </r>
  </si>
  <si>
    <t>Табела (за Графикон 16). 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</si>
  <si>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16. </t>
    </r>
    <r>
      <rPr>
        <b/>
        <sz val="10"/>
        <color theme="1"/>
        <rFont val="Arial"/>
        <family val="2"/>
      </rPr>
      <t>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(у сатима)</t>
    </r>
  </si>
  <si>
    <t>Неодређена брига о домаћинству
и породици</t>
  </si>
  <si>
    <r>
      <rPr>
        <b/>
        <sz val="10"/>
        <color rgb="FF0067B1"/>
        <rFont val="Arial"/>
        <family val="2"/>
      </rPr>
      <t xml:space="preserve">Графикон 15. </t>
    </r>
    <r>
      <rPr>
        <b/>
        <sz val="10"/>
        <rFont val="Arial"/>
        <family val="2"/>
      </rPr>
      <t>Гледање ТВ-а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  </r>
  </si>
  <si>
    <r>
      <rPr>
        <b/>
        <sz val="10"/>
        <color rgb="FF0067B1"/>
        <rFont val="Arial"/>
        <family val="2"/>
      </rPr>
      <t xml:space="preserve">Графикон 14. </t>
    </r>
    <r>
      <rPr>
        <b/>
        <sz val="10"/>
        <rFont val="Arial"/>
        <family val="2"/>
      </rPr>
      <t>Активности слободног времена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  </r>
  </si>
  <si>
    <r>
      <rPr>
        <b/>
        <sz val="10"/>
        <color rgb="FF0067B1"/>
        <rFont val="Arial"/>
        <family val="2"/>
      </rPr>
      <t>Графикон 13.</t>
    </r>
    <r>
      <rPr>
        <b/>
        <sz val="10"/>
        <rFont val="Arial"/>
        <family val="2"/>
      </rPr>
      <t xml:space="preserve"> Спавање и лична нега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  </r>
  </si>
  <si>
    <r>
      <rPr>
        <b/>
        <sz val="10"/>
        <color rgb="FF0067B1"/>
        <rFont val="Arial"/>
        <family val="2"/>
      </rPr>
      <t>Графикон 12.</t>
    </r>
    <r>
      <rPr>
        <b/>
        <sz val="10"/>
        <rFont val="Arial"/>
        <family val="2"/>
      </rPr>
      <t xml:space="preserve"> Узимање оброка и пушење цигарета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  </r>
  </si>
  <si>
    <r>
      <rPr>
        <b/>
        <sz val="10"/>
        <color rgb="FF0067B1"/>
        <rFont val="Arial"/>
        <family val="2"/>
      </rPr>
      <t>Графикон 11.</t>
    </r>
    <r>
      <rPr>
        <b/>
        <sz val="10"/>
        <rFont val="Arial"/>
        <family val="2"/>
      </rPr>
      <t xml:space="preserve"> Обављање неплаћеног посла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  </r>
  </si>
  <si>
    <t>Табела (за Графикон 10). Место где се обавља плаћени посао, становништво старости 15 и више година, према полу; сви дани, Република Србија, 2021/2022. (%)</t>
  </si>
  <si>
    <r>
      <rPr>
        <b/>
        <sz val="10"/>
        <color rgb="FF0067B1"/>
        <rFont val="Arial"/>
        <family val="2"/>
      </rPr>
      <t>Графикон 10.</t>
    </r>
    <r>
      <rPr>
        <b/>
        <sz val="10"/>
        <color rgb="FF000000"/>
        <rFont val="Arial"/>
        <family val="2"/>
      </rPr>
      <t xml:space="preserve"> Место где се обавља плаћени посао, становништво старости 15 и више година, према полу; сви дани, Република Србија, 2021/2022. (%)</t>
    </r>
  </si>
  <si>
    <t>Табела (за Графикон 8). Укупан посао према дужини плаћеног посла, становништво старости 15 и више година, према полу, радни дани, Република Србија, 2021/2022. (у сатима)</t>
  </si>
  <si>
    <t>Табела (за Графикон 7). Просечно време на плаћеном и неплаћеном послу, становништво старости 15-64 године, према врсти дана и полу, Република Србија, 2021/2022. (у сатима)</t>
  </si>
  <si>
    <r>
      <rPr>
        <b/>
        <sz val="10"/>
        <color rgb="FF0067B1"/>
        <rFont val="Arial"/>
        <family val="2"/>
      </rPr>
      <t xml:space="preserve">Темпограм 1: </t>
    </r>
    <r>
      <rPr>
        <b/>
        <sz val="10"/>
        <color rgb="FF010205"/>
        <rFont val="Arial"/>
        <family val="2"/>
      </rPr>
      <t>Распоред времена проведеног у активностима током дана, становништво старости 15+ година, према полу; сви дани, Република Србија, 2021/2022. (%)</t>
    </r>
  </si>
  <si>
    <t>Лица ван 
брака са дететом 
до 17 година</t>
  </si>
  <si>
    <t>Лица ван 
брака без детета
до 17 година</t>
  </si>
  <si>
    <t>Табела (за Графикон 5). Просечно време проведено у активностима, становништво старости 15 и више година, према статусу у запослености по сопственој изјави и полу; сви дани, Република Србија, 2021/2022. (у сатима)</t>
  </si>
  <si>
    <r>
      <rPr>
        <b/>
        <sz val="11"/>
        <color rgb="FF0067B1"/>
        <rFont val="Calibri"/>
        <family val="2"/>
        <scheme val="minor"/>
      </rPr>
      <t xml:space="preserve">Графикон 5. </t>
    </r>
    <r>
      <rPr>
        <b/>
        <sz val="11"/>
        <color theme="1"/>
        <rFont val="Calibri"/>
        <family val="2"/>
        <scheme val="minor"/>
      </rPr>
      <t>Просечно време проведено у активностима, становништво старости 15 и више година, према статусу у запослености по сопственој изјави и полу; сви дани, Република Србија, 2021/2022. (у сатима)</t>
    </r>
  </si>
  <si>
    <t>Табела (за Графикон 4). Просечно време проведено у активностима, становништво старости 15 и више година, према највишем степену образовања и полу; сви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</si>
  <si>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4. </t>
    </r>
    <r>
      <rPr>
        <b/>
        <sz val="10"/>
        <color theme="1"/>
        <rFont val="Arial"/>
        <family val="2"/>
      </rPr>
      <t>Просечно време проведено у активностима, становништво старости 15 и више година, према највишем степену образовања и полу; сви дани, Република Србија, 2021/2022. (у сатима)</t>
    </r>
  </si>
  <si>
    <r>
      <rPr>
        <b/>
        <sz val="10"/>
        <color rgb="FF0067B1"/>
        <rFont val="Arial"/>
        <family val="2"/>
      </rPr>
      <t xml:space="preserve">Табела 6. </t>
    </r>
    <r>
      <rPr>
        <b/>
        <sz val="10"/>
        <rFont val="Arial"/>
        <family val="2"/>
      </rPr>
      <t>Учешће становништва у обављању активности, становништво старости 15 и више година, према највишем степену образовања и полу; сви дани, Република Србија, 2021/2022. (%)</t>
    </r>
  </si>
  <si>
    <r>
      <rPr>
        <b/>
        <sz val="10"/>
        <color rgb="FF0067B1"/>
        <rFont val="Arial"/>
        <family val="2"/>
      </rPr>
      <t xml:space="preserve">Табела 5. </t>
    </r>
    <r>
      <rPr>
        <b/>
        <sz val="10"/>
        <color theme="1"/>
        <rFont val="Arial"/>
        <family val="2"/>
      </rPr>
      <t>Учешће становништва у обављању активности, становништво старости 15 и више година, према типу насеља и полу; сви дани, Република Србија, 2021/2022. (%)</t>
    </r>
  </si>
  <si>
    <t>Табела (за Графикон 3). Просечно време проведено у активностима, становништво старости 15 и више година, према типу насеља и полу; сви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</si>
  <si>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3. </t>
    </r>
    <r>
      <rPr>
        <b/>
        <sz val="10"/>
        <color theme="1"/>
        <rFont val="Arial"/>
        <family val="2"/>
      </rPr>
      <t>Просечно време проведено у активностима, становништво старости 15 и више година, према типу насеља и полу; сви дани, Република Србија, 2021/2022. (у сатима)</t>
    </r>
  </si>
  <si>
    <t>Градска
насеља</t>
  </si>
  <si>
    <t>Остала
насеља</t>
  </si>
  <si>
    <r>
      <rPr>
        <b/>
        <sz val="10"/>
        <color rgb="FF0067B1"/>
        <rFont val="Arial"/>
        <family val="2"/>
      </rPr>
      <t xml:space="preserve">Табела 4. </t>
    </r>
    <r>
      <rPr>
        <b/>
        <sz val="10"/>
        <rFont val="Arial"/>
        <family val="2"/>
      </rPr>
      <t>Учешће становништва у обављању активности, становништво старости 15 и више година, према старости и полу; сви дани, Република Србија, 2021/2022. (%)</t>
    </r>
  </si>
  <si>
    <t>Табела (за Графикон 2). Просечно време проведено у активностима, становништво старости 15 година и више, према старости и полу; сви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</si>
  <si>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2. </t>
    </r>
    <r>
      <rPr>
        <b/>
        <sz val="10"/>
        <color theme="1"/>
        <rFont val="Arial"/>
        <family val="2"/>
      </rPr>
      <t>Просечно време проведено у активностима, становништво старости 15 година и више, према старости и полу; сви дани, Република Србија, 2021/2022. (у сатима)</t>
    </r>
  </si>
  <si>
    <r>
      <rPr>
        <b/>
        <sz val="10"/>
        <color rgb="FF0067B1"/>
        <rFont val="Arial"/>
        <family val="2"/>
      </rPr>
      <t xml:space="preserve">Табела 3. </t>
    </r>
    <r>
      <rPr>
        <b/>
        <sz val="10"/>
        <rFont val="Arial"/>
        <family val="2"/>
      </rPr>
      <t>Просечно време оних који су обављали активности, становништво старости 15 и више година, према полу; радни дани, дани викенда и сви дани, Република Србија, 2021/2022. (у сатима)</t>
    </r>
  </si>
  <si>
    <t>07:31</t>
  </si>
  <si>
    <t>04:20</t>
  </si>
  <si>
    <t>05:32</t>
  </si>
  <si>
    <t>11:20</t>
  </si>
  <si>
    <t>05:12</t>
  </si>
  <si>
    <t>00:27</t>
  </si>
  <si>
    <t>08:21</t>
  </si>
  <si>
    <t>02:31</t>
  </si>
  <si>
    <t>06:24</t>
  </si>
  <si>
    <t>11:06</t>
  </si>
  <si>
    <t>05:46</t>
  </si>
  <si>
    <t>00:33</t>
  </si>
  <si>
    <t>03:33</t>
  </si>
  <si>
    <t>05:56</t>
  </si>
  <si>
    <t>05:28</t>
  </si>
  <si>
    <t>05:59</t>
  </si>
  <si>
    <t>04:42</t>
  </si>
  <si>
    <t>03:41</t>
  </si>
  <si>
    <t>12:07</t>
  </si>
  <si>
    <t>06:16</t>
  </si>
  <si>
    <t>07:05</t>
  </si>
  <si>
    <t>12:03</t>
  </si>
  <si>
    <t>07:25</t>
  </si>
  <si>
    <t>00:37</t>
  </si>
  <si>
    <t>06:40</t>
  </si>
  <si>
    <t>03:58</t>
  </si>
  <si>
    <t>03:21</t>
  </si>
  <si>
    <t>12:05</t>
  </si>
  <si>
    <t>06:49</t>
  </si>
  <si>
    <t>07:18</t>
  </si>
  <si>
    <t>04:26</t>
  </si>
  <si>
    <t>05:11</t>
  </si>
  <si>
    <t>08:08</t>
  </si>
  <si>
    <t>02:39</t>
  </si>
  <si>
    <t>05:38</t>
  </si>
  <si>
    <t>06:14</t>
  </si>
  <si>
    <t>00:34</t>
  </si>
  <si>
    <t>07:47</t>
  </si>
  <si>
    <t>03:40</t>
  </si>
  <si>
    <t>05:23</t>
  </si>
  <si>
    <t>11:28</t>
  </si>
  <si>
    <t>05:51</t>
  </si>
  <si>
    <t>00:31</t>
  </si>
  <si>
    <t>00:28</t>
  </si>
  <si>
    <r>
      <rPr>
        <b/>
        <sz val="10"/>
        <color rgb="FF0067B1"/>
        <rFont val="Arial"/>
        <family val="2"/>
      </rPr>
      <t xml:space="preserve">Табела 2. </t>
    </r>
    <r>
      <rPr>
        <b/>
        <sz val="10"/>
        <color theme="1"/>
        <rFont val="Arial"/>
        <family val="2"/>
      </rPr>
      <t>Учешће становништва у обављању активности, становништво старости 15 и више година, према полу; радни дани, дани викенда и сви дани, Република Србија, 2021/2022. (%)</t>
    </r>
  </si>
  <si>
    <t>02:57</t>
  </si>
  <si>
    <t>04:02</t>
  </si>
  <si>
    <t>05:08</t>
  </si>
  <si>
    <t>04:43</t>
  </si>
  <si>
    <t>01:55</t>
  </si>
  <si>
    <t>05:42</t>
  </si>
  <si>
    <t>03:48</t>
  </si>
  <si>
    <t>03:01</t>
  </si>
  <si>
    <t>05:24</t>
  </si>
  <si>
    <t>00:58</t>
  </si>
  <si>
    <t>04:25</t>
  </si>
  <si>
    <t>00:12</t>
  </si>
  <si>
    <t>01:59</t>
  </si>
  <si>
    <t>02:21</t>
  </si>
  <si>
    <t>00:10</t>
  </si>
  <si>
    <t>07:23</t>
  </si>
  <si>
    <t>01:28</t>
  </si>
  <si>
    <t>03:26</t>
  </si>
  <si>
    <t>00:11</t>
  </si>
  <si>
    <t>06:47</t>
  </si>
  <si>
    <t>03:08</t>
  </si>
  <si>
    <t>05:48</t>
  </si>
  <si>
    <t>Табела (за Графикон 1). Просечно време проведено у активностима, становништво старости 15 и више година, према полу; сви дани, Република Србија, 2021/2022. (у сатима)</t>
  </si>
  <si>
    <t>Графикон 1. Просечно време проведено у активностима, становништво старости 15 и више година, према полу; сви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</si>
  <si>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1. </t>
    </r>
    <r>
      <rPr>
        <b/>
        <sz val="10"/>
        <color theme="1"/>
        <rFont val="Arial"/>
        <family val="2"/>
      </rPr>
      <t>Просечно време проведено у активностима, становништво старости 15 и више година, према полу; сви дани, Република Србија, 2021/2022. (у сатима)</t>
    </r>
  </si>
  <si>
    <t>у минутима</t>
  </si>
  <si>
    <t>Табела (за Графикон А). Просечно време проведено у активностима бриге о детету старости 0 до 6 година, родитељи у пару, према полу; сви дани, Република Србија, 2021/2022.</t>
  </si>
  <si>
    <t>Графикон А. Просечно време проведено у активностима бриге о детету старости 0 до 6 година, родитељи у пару, према полу; сви дани, Република Србија, 2021/2022.</t>
  </si>
  <si>
    <t>(Укупно време проведено у одређеним активностима / број свих анкетираних лица)</t>
  </si>
  <si>
    <t>(Укупно време проведено у одређеним активностима / број лица која су их обављала)</t>
  </si>
  <si>
    <t>личне потребе</t>
  </si>
  <si>
    <t>плаћени посао</t>
  </si>
  <si>
    <t>(Број лица која су обављала одређене активности / 
број свих анкетираних лица)</t>
  </si>
  <si>
    <r>
      <rPr>
        <b/>
        <sz val="10"/>
        <color rgb="FF0067B1"/>
        <rFont val="Arial"/>
        <family val="2"/>
      </rPr>
      <t xml:space="preserve">Табела В. </t>
    </r>
    <r>
      <rPr>
        <b/>
        <sz val="10"/>
        <rFont val="Arial"/>
        <family val="2"/>
      </rPr>
      <t>Приказ података према основним мерама истраживања, становништво старости 15 и више година, према полу; сви дани, Република Србија, 2021/2022.</t>
    </r>
  </si>
  <si>
    <t>08:24</t>
  </si>
  <si>
    <t>08:18</t>
  </si>
  <si>
    <r>
      <rPr>
        <b/>
        <sz val="12"/>
        <color rgb="FF0067B1"/>
        <rFont val="Arial"/>
        <family val="2"/>
      </rPr>
      <t xml:space="preserve">Табела Б. </t>
    </r>
    <r>
      <rPr>
        <b/>
        <sz val="12"/>
        <rFont val="Arial"/>
        <family val="2"/>
      </rPr>
      <t>Пример дневника 2021/2022. године</t>
    </r>
  </si>
  <si>
    <t>број пописних кругова</t>
  </si>
  <si>
    <t>број домаћинстава</t>
  </si>
  <si>
    <t>САДРЖАЈ</t>
  </si>
  <si>
    <r>
      <rPr>
        <b/>
        <sz val="12"/>
        <color rgb="FF0067B1"/>
        <rFont val="Arial"/>
        <family val="2"/>
      </rPr>
      <t xml:space="preserve">Табела А. </t>
    </r>
    <r>
      <rPr>
        <b/>
        <sz val="12"/>
        <rFont val="Arial"/>
        <family val="2"/>
      </rPr>
      <t>Алокација узорка</t>
    </r>
  </si>
  <si>
    <t>Табела А. Алокација узорка</t>
  </si>
  <si>
    <r>
      <rPr>
        <b/>
        <sz val="10"/>
        <color rgb="FF0067B1"/>
        <rFont val="Arial"/>
        <family val="2"/>
      </rPr>
      <t xml:space="preserve">Табела 1. </t>
    </r>
    <r>
      <rPr>
        <b/>
        <sz val="10"/>
        <rFont val="Arial"/>
        <family val="2"/>
      </rPr>
      <t>Просечно време проведено у активностима према врсти дана и полу, Република Србија, 2021/2022. (у сатима)</t>
    </r>
  </si>
  <si>
    <t>Табела 1. Просечно време проведено у активностима према врсти дана и полу, Република Србија, 2021/2022. (у сатима)</t>
  </si>
  <si>
    <t>Табела 2. Учешће становништва у обављању активности, становништво старости 15 и више година, према полу; радни дани, дани викенда и сви дани, Република Србија, 2021/2022. (%)</t>
  </si>
  <si>
    <t>Табела 3. Просечно време оних који су обављали активности, становништво старости 15 и више година, према полу; радни дани, дани викенда и сви дани, Република Србија, 2021/2022. (у сатима)</t>
  </si>
  <si>
    <t>Графикон 2. Просечно време проведено у активностима, становништво старости 15 година и више, према старости и полу; сви дани, Република Србија, 2021/2022. (у сатима)</t>
  </si>
  <si>
    <t>Табела 4. Учешће становништва у обављању активности, становништво старости 15 и више година, према старости и полу; сви дани, Република Србија, 2021/2022. (%)</t>
  </si>
  <si>
    <t>Графикон 3. Просечно време проведено у активностима, становништво старости 15 и више година, према типу насеља и полу; сви дани, Република Србија, 2021/2022. (у сатима)</t>
  </si>
  <si>
    <t>Табела 5. Учешће становништва у обављању активности, становништво старости 15 и више година, према типу насеља и полу; сви дани, Република Србија, 2021/2022. (%)</t>
  </si>
  <si>
    <t>Графикон 4. Просечно време проведено у активностима, становништво старости 15 и више година, према највишем степену образовања и полу; сви дани, Република Србија, 2021/2022. (у сатима)</t>
  </si>
  <si>
    <t>Табела 6. Учешће становништва у обављању активности, становништво старости 15 и више година, према највишем степену образовања и полу; сви дани, Република Србија, 2021/2022. (%)</t>
  </si>
  <si>
    <t>Графикон 5. Просечно време проведено у активностима, становништво старости 15 и више година, према статусу у запослености по сопственој изјави и полу; сви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</si>
  <si>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Табела 7. </t>
    </r>
    <r>
      <rPr>
        <b/>
        <sz val="10"/>
        <rFont val="Arial"/>
        <family val="2"/>
      </rPr>
      <t>Учешће становништва у обављању активности, становништво старости 15 и више година, према статусу у запослености по сопственој изјави и полу; сви дани, Република Србија, 2021/2022. (%)</t>
    </r>
  </si>
  <si>
    <t>Табела 7. Учешће становништва у обављању активности, становништво старости 15 и више година, према статусу у запослености по сопственој изјави и полу; сви дани, Република Србија, 2021/2022. (%)</t>
  </si>
  <si>
    <r>
      <rPr>
        <b/>
        <sz val="10"/>
        <color rgb="FF0067B1"/>
        <rFont val="Arial"/>
        <family val="2"/>
      </rPr>
      <t xml:space="preserve">Графикон 6. </t>
    </r>
    <r>
      <rPr>
        <b/>
        <sz val="10"/>
        <color theme="1"/>
        <rFont val="Arial"/>
        <family val="2"/>
      </rPr>
      <t>Просечно време проведено у активностима, становништво старости 15 и више година, према породичном саставу и полу; сви дани, Република Србија, 2021/2022. (у сатима)</t>
    </r>
  </si>
  <si>
    <t>Табела (за Графикон 6). Просечно време проведено у активностима, становништво старости 15 и више година, према породичном саставу и полу; сви дани, Република Србија, 2021/2022. (у минутима)</t>
  </si>
  <si>
    <t>Табела (за Графикон 6). Просечно време проведено у активностима, становништво старости 15 и више година, према породичном саставу и полу; сви дани, Република Србија, 2021/2022. (у сатима)</t>
  </si>
  <si>
    <t>Графикон 6. Просечно време проведено у активностима, становништво старости 15 и више година, према породичном саставу и полу; сви дани, Република Србија, 2021/2022. (у сатима)</t>
  </si>
  <si>
    <t>Темпограм 1: Распоред времена проведеног у активностима током дана, становништво старости 15+ година, према полу; сви дани, Република Србија, 2021/2022. (%)</t>
  </si>
  <si>
    <r>
      <rPr>
        <b/>
        <sz val="10"/>
        <color rgb="FF0067B1"/>
        <rFont val="Arial"/>
        <family val="2"/>
      </rPr>
      <t xml:space="preserve">Графикон 7. </t>
    </r>
    <r>
      <rPr>
        <b/>
        <sz val="10"/>
        <color theme="1"/>
        <rFont val="Arial"/>
        <family val="2"/>
      </rPr>
      <t>Просечно време на плаћеном и неплаћеном послу, становништво старости 15-64 године, према врсти дана и полу, Република Србија, 2021/2022. (у сатима)</t>
    </r>
  </si>
  <si>
    <t>Графикон 7. Просечно време на плаћеном и неплаћеном послу, становништво старости 15-64 године, према врсти дана и полу, Република Србија, 2021/2022. (у сатима)</t>
  </si>
  <si>
    <t>&lt; 3</t>
  </si>
  <si>
    <r>
      <rPr>
        <b/>
        <sz val="10"/>
        <color rgb="FF0067B1"/>
        <rFont val="Arial"/>
        <family val="2"/>
      </rPr>
      <t>Графикон 8</t>
    </r>
    <r>
      <rPr>
        <b/>
        <sz val="10"/>
        <color theme="1"/>
        <rFont val="Arial"/>
        <family val="2"/>
      </rPr>
      <t>. Укупан посао према дужини плаћеног посла, становништво старости 15 и више година, према полу, радни дани, Република Србија, 2021/2022. (у сатима)</t>
    </r>
  </si>
  <si>
    <t>Графикон 8. Укупан посао према дужини плаћеног посла, становништво старости 15 и више година, према полу, радни дани, Република Србија, 2021/2022. (у сатима)</t>
  </si>
  <si>
    <r>
      <rPr>
        <b/>
        <sz val="10"/>
        <color rgb="FF0067B1"/>
        <rFont val="Arial"/>
        <family val="2"/>
      </rPr>
      <t xml:space="preserve">Графикон 9. </t>
    </r>
    <r>
      <rPr>
        <b/>
        <sz val="10"/>
        <rFont val="Arial"/>
        <family val="2"/>
      </rPr>
      <t>Укупан и неплаћени посао, становништво старости 15 и више година, према полу; радни дани, Република Србија, 2021/2022. (%)</t>
    </r>
  </si>
  <si>
    <t>Графикон 9. Укупан и неплаћени посао, становништво старости 15 и више година, према полу; радни дани, Република Србија, 2021/2022. (%)</t>
  </si>
  <si>
    <t>Графикон 10. Место где се обавља плаћени посао, становништво старости 15 и више година, према полу; сви дани, Република Србија, 2021/2022. (%)</t>
  </si>
  <si>
    <t>Графикон 11. Обављање неплаћеног посла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</si>
  <si>
    <t>Графикон 12. Узимање оброка и пушење цигарета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</si>
  <si>
    <t>Графикон 13. Спавање и лична нега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</si>
  <si>
    <t>Графикон 14. Активности слободног времена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</si>
  <si>
    <t>Графикон 15. Гледање ТВ-а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</t>
  </si>
  <si>
    <t>Графикон 16. 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(у сатима)</t>
  </si>
  <si>
    <t>Графикон 17. Просечно време проведено у неплаћеним активностима, становништво старости 15 и више година, према радном статусу по сопственој изјави и полу; сви дани, Република Србија, 2021/2022. (у сатима)</t>
  </si>
  <si>
    <t>Графикон 18. Просечно време проведено у неплаћеним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</t>
  </si>
  <si>
    <t>Графикон 19. Просечно време проведено у активностима бриге о детету, родитељи у пару са најмлађим дететом од 0 до 6 година; сви дани, Република Србија, 2021/2022. (у минутима)</t>
  </si>
  <si>
    <r>
      <rPr>
        <b/>
        <sz val="10"/>
        <color rgb="FF0067B1"/>
        <rFont val="Arial"/>
        <family val="2"/>
      </rPr>
      <t xml:space="preserve">Графикон 20. </t>
    </r>
    <r>
      <rPr>
        <b/>
        <sz val="10"/>
        <color theme="1"/>
        <rFont val="Arial"/>
        <family val="2"/>
      </rPr>
      <t>Просечно време проведено у активностима бриге о детету старости 0-17 година, родитељи у пару; сви дани, Република Србија, 2021/2022. (у минутима)</t>
    </r>
  </si>
  <si>
    <t>Графикон 20. Просечно време проведено у активностима бриге о детету старости 0-17 година, родитељи у пару; сви дани, Република Србија, 2021/2022. (у минутима)</t>
  </si>
  <si>
    <t>Графикон 21. Просечно време проведено у узимању оброка, становништво старости 15 и више година, према присуству других лица и полу; радни дани и дани викенда, Република Србија, 2021/2022. (у минутима)</t>
  </si>
  <si>
    <t>Графикон 22. Просечно време проведено у узимању оброка, становништво старости 15 и више година, према месту и полу; радни дани и дани викенда, Република Србија, 2021/2022. (у минутима)</t>
  </si>
  <si>
    <t>Графикон 23. Пијење кафе, становништво старости 15 и више година, према полу; сви дани, Република Србија, 2021/2022. (%)</t>
  </si>
  <si>
    <t>Графикон 24. Просечно време проведено у слободним активностима, становништво старости 15 и више година, према полу; радни дани и дани викенда, Република Србија, 2021/2022. (у сатима)</t>
  </si>
  <si>
    <t>Графикон 25. Просечно време проведено у слободним активностима, ниво активности 2, становништво старости 15 и више година, према полу; сви дани, Република Србија, 2021/2022. (у минутима)</t>
  </si>
  <si>
    <t>Графикон 26. Просечно време проведено у слободним активностима, ниво активности 1 и 2, становништво старости 15 и више година, према породичном саставу и полу; сви дани, Република Србија, 2021/2022. (у минутима)</t>
  </si>
  <si>
    <t>Графикон 27. Просечно време проведено у слободним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</t>
  </si>
  <si>
    <t>Графикон 28. Гледање квиза ТВ Слагалица, становништво старости 15 и више година, према полу; сви дани, Република Србија, 2021/2022. (%)</t>
  </si>
  <si>
    <t>Графикон 29. Гледање Слагалице, становништво старости 15 и више година, према полу и старости; сви дани, Република Србија, 2021/2022. (%)</t>
  </si>
  <si>
    <t>Графикон 30. Стрес међу становништвом старости 15 и више година, према породичном саставу и полу; сви дани, Република Србија, 2021/2022. (%)</t>
  </si>
  <si>
    <t>Графикон 31. Стрес пре и после пандемије, становништво старости 15 и више година, према полу; сви дани, Република Србија, 2021/2022. (%)</t>
  </si>
  <si>
    <t>Табела (за Графикон 32). Бити сам или са неким током активности, становништво старости 15 и више година, према старости и полу; сви дани, Република Србија, 2021/2022. (%)</t>
  </si>
  <si>
    <r>
      <rPr>
        <b/>
        <sz val="10"/>
        <color rgb="FF0067B1"/>
        <rFont val="Arial"/>
        <family val="2"/>
      </rPr>
      <t xml:space="preserve">Графикон 32. </t>
    </r>
    <r>
      <rPr>
        <b/>
        <sz val="10"/>
        <color theme="1"/>
        <rFont val="Arial"/>
        <family val="2"/>
      </rPr>
      <t>Бити сам или са неким током активности, становништво старости 15 и више година, према старости и полу; сви дани, Република Србија, 2021/2022. (%)</t>
    </r>
  </si>
  <si>
    <t>Графикон 32. Бити сам или са неким током активности, становништво старости 15 и више година, према старости и полу; сви дани, Република Србија, 2021/2022. (%)</t>
  </si>
  <si>
    <t>Табела (за Графикон 33). Учешће становништва према времену које је проведено са партнером или са дететом, становништво старости 15 и више година, према старости и полу; сви дани, Република Србија, 2021.2022. (%)</t>
  </si>
  <si>
    <r>
      <rPr>
        <b/>
        <sz val="10"/>
        <color rgb="FF0067B1"/>
        <rFont val="Arial"/>
        <family val="2"/>
      </rPr>
      <t>Графикон 33.</t>
    </r>
    <r>
      <rPr>
        <b/>
        <sz val="10"/>
        <color theme="1"/>
        <rFont val="Arial"/>
        <family val="2"/>
      </rPr>
      <t xml:space="preserve"> Учешће становништва према времену које је проведено са партнером или са дететом, становништво старости 15 и више година, према старости и полу; сви дани, Република Србија, 2021/2022. (%)</t>
    </r>
  </si>
  <si>
    <t>Графикон 33. Учешће становништва према времену које је проведено са партнером или са дететом, становништво старости 15 и више година, према старости и полу; сви дани, Република Србија, 2021/2022. (%)</t>
  </si>
  <si>
    <r>
      <rPr>
        <b/>
        <sz val="10"/>
        <color rgb="FF0067B1"/>
        <rFont val="Arial"/>
        <family val="2"/>
      </rPr>
      <t xml:space="preserve">Табела 9. </t>
    </r>
    <r>
      <rPr>
        <b/>
        <sz val="10"/>
        <rFont val="Arial"/>
        <family val="2"/>
      </rPr>
      <t>Просечно време проведено у активностима, становништво старости 15 и више година, према полу; сви дани, Република Србија, 2010/2011. и 2021/2022. (у сатима)</t>
    </r>
  </si>
  <si>
    <t>Главни и други посао</t>
  </si>
  <si>
    <t>Активности везане за запослење</t>
  </si>
  <si>
    <t>Путовање до и са посла</t>
  </si>
  <si>
    <t>Неодређена брига о домаћинству и породици</t>
  </si>
  <si>
    <t>Школа или факултет</t>
  </si>
  <si>
    <t>Учење у слободно време</t>
  </si>
  <si>
    <t>Путовање у вези са учењем / студирањем</t>
  </si>
  <si>
    <t>Конзумирање хране и пића</t>
  </si>
  <si>
    <t>Остала лична нега</t>
  </si>
  <si>
    <t>Остала или неодређена сврха путовања</t>
  </si>
  <si>
    <t>Рад за или преко неке организације</t>
  </si>
  <si>
    <t>Неформална помоћ другом домаћинству</t>
  </si>
  <si>
    <t>Састанци и верске активности</t>
  </si>
  <si>
    <t>Друштвени живот</t>
  </si>
  <si>
    <t>Забава и култура</t>
  </si>
  <si>
    <t>Одмарање - слободно време</t>
  </si>
  <si>
    <t>Физичке вежбе</t>
  </si>
  <si>
    <t>Продуктивне вежбе</t>
  </si>
  <si>
    <t>Активности везане за спорт</t>
  </si>
  <si>
    <t>Уметност и хобији</t>
  </si>
  <si>
    <t>Рад на рачунару</t>
  </si>
  <si>
    <t>Игре</t>
  </si>
  <si>
    <t>ТВ, видео и ДВД</t>
  </si>
  <si>
    <t>Радио и снимци</t>
  </si>
  <si>
    <t>Путовање у вези са волонтерским радом и састанцима</t>
  </si>
  <si>
    <t>Путовање у вези са друштвеним животом</t>
  </si>
  <si>
    <t>Путовање у вези са осталим слободним активностима</t>
  </si>
  <si>
    <t>Путовање у вези са променом места/насеља</t>
  </si>
  <si>
    <t>Остала путовања и активности</t>
  </si>
  <si>
    <r>
      <rPr>
        <b/>
        <sz val="12"/>
        <color rgb="FF0070C0"/>
        <rFont val="Arial Bold"/>
      </rPr>
      <t xml:space="preserve">Табела П.2. </t>
    </r>
    <r>
      <rPr>
        <b/>
        <sz val="12"/>
        <color rgb="FF000000"/>
        <rFont val="Arial Bold"/>
        <family val="2"/>
      </rPr>
      <t>Учешће становништва у обављању активности, становништво старости 15 и више 
година, према полу; радни дани, дани викенда и сви дани, Република Србија, 2021/2022. (У процентима)</t>
    </r>
  </si>
  <si>
    <r>
      <rPr>
        <b/>
        <sz val="12"/>
        <color rgb="FF0070C0"/>
        <rFont val="Arial Bold"/>
      </rPr>
      <t xml:space="preserve">Табела П.1. </t>
    </r>
    <r>
      <rPr>
        <b/>
        <sz val="12"/>
        <color rgb="FF000000"/>
        <rFont val="Arial Bold"/>
        <family val="2"/>
      </rPr>
      <t xml:space="preserve">Просечно време проведено у активностима, становништво старости 15 и </t>
    </r>
    <r>
      <rPr>
        <sz val="12"/>
        <color rgb="FF000000"/>
        <rFont val="Arial Bold"/>
      </rPr>
      <t>више</t>
    </r>
    <r>
      <rPr>
        <b/>
        <sz val="12"/>
        <color rgb="FF000000"/>
        <rFont val="Arial Bold"/>
        <family val="2"/>
      </rPr>
      <t xml:space="preserve"> 
година, према полу; радни дани, дани викенда и сви дани, Република Србија, 2021/2022. </t>
    </r>
    <r>
      <rPr>
        <sz val="12"/>
        <color rgb="FF000000"/>
        <rFont val="Arial Bold"/>
      </rPr>
      <t>(У минутима)</t>
    </r>
  </si>
  <si>
    <t>Табела П.3. Просечно време оних који су обављали активности, становништво старости 15 и више 
година, према полу; радни дани, дани викенда и сви дани, Република Србија, 2021/2022. (у минутима)</t>
  </si>
  <si>
    <t>Табела П.3. Просечно време оних који су обављали активности, становништво старости 15 и више година, према полу; радни дани, дани викенда и сви дани, Република Србија, 2021/2022. (у сатима)</t>
  </si>
  <si>
    <t>Публикације објављене у оквиру исте едиције:</t>
  </si>
  <si>
    <t>Коришћење времена у Републици Србији, 2010/2011.</t>
  </si>
  <si>
    <t>Како три генерације користе време у Републици Србији, 2010/2011.</t>
  </si>
  <si>
    <t>Коришћење времена у Републици Србији, 2010. и 2015.</t>
  </si>
  <si>
    <t>Публикације објављене у оквиру исте едиције</t>
  </si>
  <si>
    <r>
      <rPr>
        <b/>
        <sz val="12"/>
        <color rgb="FF0067B1"/>
        <rFont val="Arial Bold"/>
      </rPr>
      <t>Табела П.3</t>
    </r>
    <r>
      <rPr>
        <b/>
        <sz val="12"/>
        <color rgb="FF000000"/>
        <rFont val="Arial Bold"/>
        <family val="2"/>
      </rPr>
      <t>. Просечно време оних који су обављали активности, становништво старости 15 и више година, према полу; радни дани, дани викенда и сви дани, Република Србија, 2021/2022. (у сатима)</t>
    </r>
  </si>
  <si>
    <r>
      <rPr>
        <b/>
        <sz val="12"/>
        <color rgb="FF0070C0"/>
        <rFont val="Arial Bold"/>
      </rPr>
      <t xml:space="preserve">Табела П.2. </t>
    </r>
    <r>
      <rPr>
        <b/>
        <sz val="12"/>
        <color rgb="FF000000"/>
        <rFont val="Arial Bold"/>
        <family val="2"/>
      </rPr>
      <t>Учешће становништва у обављању активности, становништво старости 15 и више година, према полу; радни дани, дани викенда и сви дани, Република Србија, 2021/2022. (%)</t>
    </r>
  </si>
  <si>
    <r>
      <rPr>
        <b/>
        <sz val="12"/>
        <color rgb="FF0070C0"/>
        <rFont val="Arial Bold"/>
      </rPr>
      <t xml:space="preserve">Табела П.1. </t>
    </r>
    <r>
      <rPr>
        <b/>
        <sz val="12"/>
        <color rgb="FF000000"/>
        <rFont val="Arial Bold"/>
        <family val="2"/>
      </rPr>
      <t xml:space="preserve">Просечно време проведено у активностима, становништво старости 15 и </t>
    </r>
    <r>
      <rPr>
        <sz val="12"/>
        <color rgb="FF000000"/>
        <rFont val="Arial Bold"/>
      </rPr>
      <t>више</t>
    </r>
    <r>
      <rPr>
        <b/>
        <sz val="12"/>
        <color rgb="FF000000"/>
        <rFont val="Arial Bold"/>
        <family val="2"/>
      </rPr>
      <t xml:space="preserve"> година, према полу; радни дани, дани викенда и сви дани, Република Србија, 2021/2022. </t>
    </r>
    <r>
      <rPr>
        <sz val="12"/>
        <color rgb="FF000000"/>
        <rFont val="Arial Bold"/>
      </rPr>
      <t>(у сатима)</t>
    </r>
  </si>
  <si>
    <t>Табела П.1. Просечно време проведено у активностима, становништво старости 15 и више година, према полу; радни дани, дани викенда и сви дани, Република Србија, 2021/2022. (у сатима)</t>
  </si>
  <si>
    <t>Табела П.2. Учешће становништва у обављању активности, становништво старости 15 и више година, према полу; радни дани, дани викенда и сви дани, Република Србија, 2021/2022. (%)</t>
  </si>
  <si>
    <r>
      <rPr>
        <b/>
        <sz val="10"/>
        <color rgb="FF0067B1"/>
        <rFont val="Arial"/>
        <family val="2"/>
      </rPr>
      <t xml:space="preserve">Темпограм 1: </t>
    </r>
    <r>
      <rPr>
        <b/>
        <sz val="10"/>
        <color rgb="FF010205"/>
        <rFont val="Arial"/>
        <family val="2"/>
      </rPr>
      <t>Распоред времена проведеног у активностима током дана, становништво старости 15+ година, према полу; радни дани, Република Србија, 2021/2022. (%)</t>
    </r>
  </si>
  <si>
    <r>
      <rPr>
        <b/>
        <sz val="10"/>
        <color rgb="FF0067B1"/>
        <rFont val="Arial"/>
        <family val="2"/>
      </rPr>
      <t xml:space="preserve">Темпограм 1: </t>
    </r>
    <r>
      <rPr>
        <b/>
        <sz val="10"/>
        <color rgb="FF010205"/>
        <rFont val="Arial"/>
        <family val="2"/>
      </rPr>
      <t>Распоред времена проведеног у активностима током дана, становништво старости 15+ година, према полу; дани викенда, Република Србија, 2021/2022. (%)</t>
    </r>
  </si>
  <si>
    <t>Република Србија</t>
  </si>
  <si>
    <t>у сатима</t>
  </si>
  <si>
    <r>
      <rPr>
        <b/>
        <sz val="10"/>
        <color rgb="FF0067B1"/>
        <rFont val="Arial"/>
        <family val="2"/>
      </rPr>
      <t xml:space="preserve">Графикон А. </t>
    </r>
    <r>
      <rPr>
        <b/>
        <sz val="10"/>
        <color theme="1"/>
        <rFont val="Arial"/>
        <family val="2"/>
      </rPr>
      <t>Просечно време проведено у активностима бриге о детету старости 0 до 6 година, родитељи у пару, према полу; сви дани, Република Србија, 2021/2022. (у сатима)</t>
    </r>
  </si>
  <si>
    <t>2,9</t>
  </si>
  <si>
    <t>1,9</t>
  </si>
  <si>
    <t>1,6</t>
  </si>
  <si>
    <t>СВИ ДАНИ - ОБА ПОЛА (15+ ГОДИНА), Република Србија, 2021/2022.</t>
  </si>
  <si>
    <t>СВИ ДАНИ - МУШКARЦИ (15+ ГОДИНА), Република Србија, 2021/2022.</t>
  </si>
  <si>
    <t>РАДНИ ДАНИ - ОБА ПОЛА (15+ ГОДИНА), Република Србија, 2021/2022.</t>
  </si>
  <si>
    <t>РАДНИ ДАНИ - МУШКАРЦИ (15+ ГОДИНА), Република Србија, 2021/2022.</t>
  </si>
  <si>
    <t>РАДНИ ДАНИ - ЖЕНЕ (15+ ГОДИНА), Република Србија, 2021/2022.</t>
  </si>
  <si>
    <t>ДАНИ ВИКЕНДА - ОБА ПОЛА (15+ ГОДИНА), Република Србија, 2021/2022.</t>
  </si>
  <si>
    <t>ДАНИ ВИКЕНДА - МУШКАРЦИ (15+ ГОДИНА), Република Србија, 2021/2022.</t>
  </si>
  <si>
    <t>ДАНИ ВИКЕНДА - ЖЕНЕ (15+ ГОДИНА), Република Србија, 2021/2022.</t>
  </si>
  <si>
    <t>СВИ ДАНИ - ЖЕНЕ (15+ ГОДИНА), Република Србија, 2021/2022.</t>
  </si>
  <si>
    <r>
      <rPr>
        <b/>
        <sz val="10"/>
        <color rgb="FF0067B1"/>
        <rFont val="Arial"/>
        <family val="2"/>
      </rPr>
      <t xml:space="preserve">Табела 8. </t>
    </r>
    <r>
      <rPr>
        <b/>
        <sz val="10"/>
        <rFont val="Arial"/>
        <family val="2"/>
      </rPr>
      <t>Учешће у обављању и 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(% и минути)</t>
    </r>
  </si>
  <si>
    <t>Одржавање
домаћинства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</si>
</sst>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###0.00"/>
    <numFmt numFmtId="165" formatCode="###0"/>
    <numFmt numFmtId="166" formatCode="###0.0%"/>
    <numFmt numFmtId="167" formatCode="0.0"/>
    <numFmt numFmtId="168" formatCode="0.0%"/>
    <numFmt numFmtId="169" formatCode="###0.0"/>
    <numFmt numFmtId="170" formatCode="####.00"/>
    <numFmt numFmtId="171" formatCode="####.0%"/>
  </numFmts>
  <fonts count="63" x14ac:knownFonts="1">
    <font>
      <sz val="11"/>
      <color theme="1"/>
      <name val="Calibri"/>
      <family val="2"/>
      <scheme val="minor"/>
    </font>
    <font>
      <b/>
      <sz val="11"/>
      <color rgb="FF010205"/>
      <name val="Arial Bold"/>
      <family val="2"/>
    </font>
    <font>
      <sz val="9"/>
      <color rgb="FF264A60"/>
      <name val="Arial"/>
      <family val="2"/>
    </font>
    <font>
      <sz val="9"/>
      <color rgb="FF010205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color rgb="FFFF0000"/>
      <name val="Arial"/>
      <family val="2"/>
    </font>
    <font>
      <sz val="9"/>
      <color theme="1"/>
      <name val="Times New Roman"/>
      <family val="1"/>
    </font>
    <font>
      <sz val="9"/>
      <name val="Arial"/>
      <family val="2"/>
    </font>
    <font>
      <sz val="10"/>
      <name val="Arial"/>
      <family val="2"/>
    </font>
    <font>
      <sz val="9"/>
      <color indexed="60"/>
      <name val="Arial"/>
      <family val="2"/>
    </font>
    <font>
      <sz val="9"/>
      <color indexed="8"/>
      <name val="Arial"/>
      <family val="2"/>
    </font>
    <font>
      <b/>
      <sz val="11"/>
      <color rgb="FF010205"/>
      <name val="Arial Bold"/>
    </font>
    <font>
      <b/>
      <sz val="9"/>
      <color rgb="FF000000"/>
      <name val="Arial Bold"/>
      <family val="2"/>
    </font>
    <font>
      <sz val="9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rgb="FF000000"/>
      <name val="Arial Bold"/>
    </font>
    <font>
      <sz val="10"/>
      <color theme="1"/>
      <name val="Arial"/>
      <family val="2"/>
    </font>
    <font>
      <sz val="9"/>
      <color theme="1"/>
      <name val="Arial"/>
      <family val="2"/>
    </font>
    <font>
      <b/>
      <sz val="10"/>
      <color rgb="FF0067B1"/>
      <name val="Arial"/>
      <family val="2"/>
    </font>
    <font>
      <b/>
      <sz val="10"/>
      <color theme="1"/>
      <name val="Arial"/>
      <family val="2"/>
    </font>
    <font>
      <sz val="10"/>
      <color theme="1"/>
      <name val="Times New Roman"/>
      <family val="1"/>
    </font>
    <font>
      <sz val="6"/>
      <color theme="1"/>
      <name val="Times New Roman"/>
      <family val="1"/>
    </font>
    <font>
      <sz val="9"/>
      <color theme="1"/>
      <name val="Microsoft Sans Serif"/>
      <family val="2"/>
    </font>
    <font>
      <sz val="11"/>
      <name val="Calibri"/>
      <family val="2"/>
      <scheme val="minor"/>
    </font>
    <font>
      <sz val="10"/>
      <color rgb="FF010205"/>
      <name val="Arial"/>
      <family val="2"/>
    </font>
    <font>
      <b/>
      <sz val="10"/>
      <color rgb="FF010205"/>
      <name val="Arial Bold"/>
      <family val="2"/>
    </font>
    <font>
      <sz val="10"/>
      <color theme="1"/>
      <name val="Calibri"/>
      <family val="2"/>
      <scheme val="minor"/>
    </font>
    <font>
      <b/>
      <sz val="9"/>
      <color rgb="FF010205"/>
      <name val="Arial Bold"/>
      <family val="2"/>
    </font>
    <font>
      <sz val="11"/>
      <color rgb="FF0070C0"/>
      <name val="Calibri"/>
      <family val="2"/>
      <scheme val="minor"/>
    </font>
    <font>
      <sz val="9"/>
      <color rgb="FF0070C0"/>
      <name val="Arial"/>
      <family val="2"/>
    </font>
    <font>
      <b/>
      <sz val="11"/>
      <name val="Calibri"/>
      <family val="2"/>
      <scheme val="minor"/>
    </font>
    <font>
      <b/>
      <sz val="10"/>
      <color rgb="FF010205"/>
      <name val="Arial Bold"/>
    </font>
    <font>
      <b/>
      <sz val="14"/>
      <color rgb="FF000000"/>
      <name val="Arial Bold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color rgb="FF010205"/>
      <name val="Arial"/>
      <family val="2"/>
    </font>
    <font>
      <b/>
      <sz val="10"/>
      <color rgb="FF0067B1"/>
      <name val="Arial Bold"/>
    </font>
    <font>
      <b/>
      <u/>
      <sz val="10"/>
      <color rgb="FF010205"/>
      <name val="Arial"/>
      <family val="2"/>
    </font>
    <font>
      <b/>
      <u/>
      <sz val="10"/>
      <color theme="1"/>
      <name val="Arial"/>
      <family val="2"/>
    </font>
    <font>
      <b/>
      <sz val="11"/>
      <color rgb="FF0067B1"/>
      <name val="Calibri"/>
      <family val="2"/>
      <scheme val="minor"/>
    </font>
    <font>
      <sz val="10"/>
      <color rgb="FF000000"/>
      <name val="Arial"/>
      <family val="2"/>
    </font>
    <font>
      <b/>
      <i/>
      <sz val="9"/>
      <color rgb="FF264A60"/>
      <name val="Arial"/>
      <family val="2"/>
    </font>
    <font>
      <b/>
      <sz val="9"/>
      <color theme="1"/>
      <name val="Arial"/>
      <family val="2"/>
    </font>
    <font>
      <b/>
      <sz val="12"/>
      <name val="Arial"/>
      <family val="2"/>
    </font>
    <font>
      <b/>
      <sz val="12"/>
      <color rgb="FF0067B1"/>
      <name val="Arial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Arial"/>
      <family val="2"/>
    </font>
    <font>
      <sz val="11"/>
      <name val="Times New Roman"/>
      <family val="1"/>
    </font>
    <font>
      <b/>
      <sz val="12"/>
      <color rgb="FF000000"/>
      <name val="Arial Bold"/>
    </font>
    <font>
      <b/>
      <sz val="12"/>
      <color rgb="FF0070C0"/>
      <name val="Arial Bold"/>
    </font>
    <font>
      <b/>
      <sz val="12"/>
      <color rgb="FF000000"/>
      <name val="Arial Bold"/>
      <family val="2"/>
    </font>
    <font>
      <sz val="12"/>
      <color rgb="FF000000"/>
      <name val="Arial Bold"/>
    </font>
    <font>
      <b/>
      <sz val="10"/>
      <color rgb="FF0070C0"/>
      <name val="Arial"/>
      <family val="2"/>
    </font>
    <font>
      <i/>
      <sz val="9"/>
      <color rgb="FF000000"/>
      <name val="Arial"/>
      <family val="2"/>
    </font>
    <font>
      <b/>
      <sz val="16"/>
      <color theme="1"/>
      <name val="Calibri"/>
      <family val="2"/>
      <scheme val="minor"/>
    </font>
    <font>
      <b/>
      <sz val="12"/>
      <color rgb="FF0067B1"/>
      <name val="Arial Bold"/>
    </font>
    <font>
      <b/>
      <sz val="9"/>
      <name val="Arial"/>
      <family val="2"/>
    </font>
  </fonts>
  <fills count="11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0E0E0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E0E0E0"/>
        <bgColor rgb="FFFFFFFF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0"/>
        <bgColor indexed="64"/>
      </patternFill>
    </fill>
  </fills>
  <borders count="235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/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/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 style="thin">
        <color rgb="FFE0E0E0"/>
      </right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E0E0E0"/>
      </right>
      <top/>
      <bottom/>
      <diagonal/>
    </border>
    <border>
      <left style="thin">
        <color rgb="FFE0E0E0"/>
      </left>
      <right style="thin">
        <color rgb="FFE0E0E0"/>
      </right>
      <top/>
      <bottom/>
      <diagonal/>
    </border>
    <border>
      <left style="thin">
        <color rgb="FFE0E0E0"/>
      </left>
      <right/>
      <top/>
      <bottom/>
      <diagonal/>
    </border>
    <border>
      <left/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 style="thin">
        <color rgb="FFE0E0E0"/>
      </right>
      <top/>
      <bottom style="thin">
        <color rgb="FF152935"/>
      </bottom>
      <diagonal/>
    </border>
    <border>
      <left style="thin">
        <color rgb="FFE0E0E0"/>
      </left>
      <right/>
      <top/>
      <bottom style="thin">
        <color rgb="FF152935"/>
      </bottom>
      <diagonal/>
    </border>
    <border>
      <left style="thin">
        <color rgb="FFE0E0E0"/>
      </left>
      <right/>
      <top/>
      <bottom style="thin">
        <color rgb="FF152935"/>
      </bottom>
      <diagonal/>
    </border>
    <border>
      <left/>
      <right/>
      <top style="thin">
        <color rgb="FF152935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AEAEAE"/>
      </bottom>
      <diagonal/>
    </border>
    <border>
      <left/>
      <right/>
      <top style="thin">
        <color rgb="FFAEAEAE"/>
      </top>
      <bottom style="thin">
        <color rgb="FF152935"/>
      </bottom>
      <diagonal/>
    </border>
    <border>
      <left style="thin">
        <color rgb="FFE0E0E0"/>
      </left>
      <right/>
      <top style="thin">
        <color rgb="FF152935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AEAEAE"/>
      </bottom>
      <diagonal/>
    </border>
    <border>
      <left style="thin">
        <color rgb="FFE0E0E0"/>
      </left>
      <right/>
      <top style="thin">
        <color rgb="FFAEAEAE"/>
      </top>
      <bottom style="thin">
        <color rgb="FF152935"/>
      </bottom>
      <diagonal/>
    </border>
    <border>
      <left/>
      <right/>
      <top/>
      <bottom/>
      <diagonal/>
    </border>
    <border>
      <left/>
      <right/>
      <top/>
      <bottom style="thin">
        <color rgb="FF152935"/>
      </bottom>
      <diagonal/>
    </border>
    <border>
      <left/>
      <right/>
      <top style="thin">
        <color rgb="FF152935"/>
      </top>
      <bottom/>
      <diagonal/>
    </border>
    <border>
      <left/>
      <right/>
      <top/>
      <bottom style="thin">
        <color rgb="FFAEAEAE"/>
      </bottom>
      <diagonal/>
    </border>
    <border>
      <left/>
      <right style="thin">
        <color indexed="62"/>
      </right>
      <top/>
      <bottom/>
      <diagonal/>
    </border>
    <border>
      <left style="thin">
        <color indexed="62"/>
      </left>
      <right/>
      <top/>
      <bottom/>
      <diagonal/>
    </border>
    <border>
      <left/>
      <right/>
      <top style="thin">
        <color indexed="61"/>
      </top>
      <bottom style="thin">
        <color indexed="63"/>
      </bottom>
      <diagonal/>
    </border>
    <border>
      <left/>
      <right style="thin">
        <color indexed="62"/>
      </right>
      <top style="thin">
        <color indexed="61"/>
      </top>
      <bottom style="thin">
        <color indexed="63"/>
      </bottom>
      <diagonal/>
    </border>
    <border>
      <left style="thin">
        <color indexed="62"/>
      </left>
      <right/>
      <top style="thin">
        <color indexed="61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2"/>
      </right>
      <top style="thin">
        <color indexed="63"/>
      </top>
      <bottom style="thin">
        <color indexed="63"/>
      </bottom>
      <diagonal/>
    </border>
    <border>
      <left style="thin">
        <color indexed="62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1"/>
      </bottom>
      <diagonal/>
    </border>
    <border>
      <left/>
      <right style="thin">
        <color indexed="62"/>
      </right>
      <top style="thin">
        <color indexed="63"/>
      </top>
      <bottom style="thin">
        <color indexed="61"/>
      </bottom>
      <diagonal/>
    </border>
    <border>
      <left style="thin">
        <color indexed="62"/>
      </left>
      <right/>
      <top style="thin">
        <color indexed="63"/>
      </top>
      <bottom style="thin">
        <color indexed="61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 style="thin">
        <color indexed="61"/>
      </right>
      <top style="thin">
        <color indexed="62"/>
      </top>
      <bottom style="thin">
        <color indexed="62"/>
      </bottom>
      <diagonal/>
    </border>
    <border>
      <left style="thin">
        <color indexed="61"/>
      </left>
      <right/>
      <top style="thin">
        <color indexed="62"/>
      </top>
      <bottom style="thin">
        <color indexed="62"/>
      </bottom>
      <diagonal/>
    </border>
    <border>
      <left/>
      <right style="thin">
        <color indexed="61"/>
      </right>
      <top style="thin">
        <color indexed="62"/>
      </top>
      <bottom style="thin">
        <color indexed="63"/>
      </bottom>
      <diagonal/>
    </border>
    <border>
      <left style="thin">
        <color indexed="61"/>
      </left>
      <right/>
      <top style="thin">
        <color indexed="62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/>
      <diagonal/>
    </border>
    <border>
      <left style="thick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/>
      <diagonal/>
    </border>
    <border>
      <left style="thin">
        <color rgb="FF000000"/>
      </left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/>
      <diagonal/>
    </border>
    <border>
      <left style="thick">
        <color rgb="FF000000"/>
      </left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/>
      <diagonal/>
    </border>
    <border>
      <left style="thick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ck">
        <color rgb="FF000000"/>
      </right>
      <top style="thick">
        <color rgb="FF000000"/>
      </top>
      <bottom/>
      <diagonal/>
    </border>
    <border>
      <left style="thin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ck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ck">
        <color rgb="FF7030A0"/>
      </left>
      <right style="thick">
        <color rgb="FF7030A0"/>
      </right>
      <top style="thick">
        <color rgb="FF7030A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 style="thick">
        <color rgb="FF7030A0"/>
      </left>
      <right style="thick">
        <color rgb="FF7030A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ck">
        <color rgb="FF000000"/>
      </top>
      <bottom/>
      <diagonal/>
    </border>
    <border>
      <left style="thick">
        <color rgb="FF7030A0"/>
      </left>
      <right style="thick">
        <color rgb="FF7030A0"/>
      </right>
      <top style="thick">
        <color rgb="FF000000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rgb="FF7030A0"/>
      </left>
      <right style="thick">
        <color rgb="FF7030A0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rgb="FF7030A0"/>
      </left>
      <right style="thick">
        <color rgb="FF7030A0"/>
      </right>
      <top style="thin">
        <color rgb="FF000000"/>
      </top>
      <bottom style="thick">
        <color rgb="FF7030A0"/>
      </bottom>
      <diagonal/>
    </border>
    <border>
      <left style="thick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/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ck">
        <color rgb="FF000000"/>
      </bottom>
      <diagonal/>
    </border>
    <border>
      <left/>
      <right/>
      <top/>
      <bottom style="thick">
        <color rgb="FF000000"/>
      </bottom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 style="thin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/>
      <bottom style="medium">
        <color rgb="FF0067B1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dotted">
        <color indexed="64"/>
      </bottom>
      <diagonal/>
    </border>
    <border>
      <left style="dotted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medium">
        <color indexed="64"/>
      </top>
      <bottom style="medium">
        <color indexed="64"/>
      </bottom>
      <diagonal/>
    </border>
    <border>
      <left style="thick">
        <color rgb="FF000000"/>
      </left>
      <right style="thick">
        <color rgb="FF000000"/>
      </right>
      <top/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rgb="FFE0E0E0"/>
      </right>
      <top/>
      <bottom style="thin">
        <color rgb="FFAEAEAE"/>
      </bottom>
      <diagonal/>
    </border>
    <border>
      <left/>
      <right/>
      <top style="thin">
        <color indexed="62"/>
      </top>
      <bottom/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E0E0E0"/>
      </left>
      <right style="thin">
        <color rgb="FFE0E0E0"/>
      </right>
      <top/>
      <bottom style="thin">
        <color rgb="FFAEAEAE"/>
      </bottom>
      <diagonal/>
    </border>
    <border>
      <left style="thin">
        <color rgb="FFE0E0E0"/>
      </left>
      <right/>
      <top/>
      <bottom style="thin">
        <color rgb="FFAEAEAE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rgb="FF0067B1"/>
      </top>
      <bottom/>
      <diagonal/>
    </border>
    <border>
      <left/>
      <right/>
      <top style="thin">
        <color auto="1"/>
      </top>
      <bottom style="medium">
        <color rgb="FF0067B1"/>
      </bottom>
      <diagonal/>
    </border>
    <border>
      <left/>
      <right/>
      <top style="thin">
        <color rgb="FF000000"/>
      </top>
      <bottom style="medium">
        <color rgb="FF0067B1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auto="1"/>
      </bottom>
      <diagonal/>
    </border>
    <border>
      <left/>
      <right style="medium">
        <color auto="1"/>
      </right>
      <top style="dotted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/>
      <right style="medium">
        <color auto="1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medium">
        <color auto="1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auto="1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medium">
        <color auto="1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rgb="FF0070C0"/>
      </top>
      <bottom/>
      <diagonal/>
    </border>
    <border>
      <left/>
      <right style="thin">
        <color rgb="FF000000"/>
      </right>
      <top style="thin">
        <color rgb="FF0070C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70C0"/>
      </top>
      <bottom style="thin">
        <color rgb="FF000000"/>
      </bottom>
      <diagonal/>
    </border>
    <border>
      <left style="thin">
        <color rgb="FF000000"/>
      </left>
      <right/>
      <top style="thin">
        <color rgb="FF0070C0"/>
      </top>
      <bottom style="thin">
        <color rgb="FF000000"/>
      </bottom>
      <diagonal/>
    </border>
    <border>
      <left/>
      <right/>
      <top style="thin">
        <color rgb="FF0070C0"/>
      </top>
      <bottom style="thin">
        <color rgb="FF000000"/>
      </bottom>
      <diagonal/>
    </border>
    <border>
      <left/>
      <right/>
      <top/>
      <bottom style="thin">
        <color rgb="FF0070C0"/>
      </bottom>
      <diagonal/>
    </border>
    <border>
      <left/>
      <right/>
      <top style="thin">
        <color rgb="FF000000"/>
      </top>
      <bottom style="thin">
        <color rgb="FF0070C0"/>
      </bottom>
      <diagonal/>
    </border>
    <border>
      <left/>
      <right/>
      <top style="thin">
        <color rgb="FF0070C0"/>
      </top>
      <bottom style="thin">
        <color rgb="FF0070C0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rgb="FF152935"/>
      </left>
      <right/>
      <top style="medium">
        <color rgb="FF152935"/>
      </top>
      <bottom/>
      <diagonal/>
    </border>
    <border>
      <left/>
      <right/>
      <top style="medium">
        <color rgb="FF152935"/>
      </top>
      <bottom/>
      <diagonal/>
    </border>
    <border>
      <left style="thin">
        <color rgb="FFE0E0E0"/>
      </left>
      <right style="thin">
        <color rgb="FFE0E0E0"/>
      </right>
      <top style="medium">
        <color rgb="FF152935"/>
      </top>
      <bottom/>
      <diagonal/>
    </border>
    <border>
      <left style="thin">
        <color rgb="FFE0E0E0"/>
      </left>
      <right style="medium">
        <color rgb="FF152935"/>
      </right>
      <top style="medium">
        <color rgb="FF152935"/>
      </top>
      <bottom/>
      <diagonal/>
    </border>
    <border>
      <left style="medium">
        <color rgb="FF152935"/>
      </left>
      <right/>
      <top style="medium">
        <color rgb="FF152935"/>
      </top>
      <bottom style="dotted">
        <color rgb="FF152935"/>
      </bottom>
      <diagonal/>
    </border>
    <border>
      <left/>
      <right/>
      <top style="medium">
        <color rgb="FF152935"/>
      </top>
      <bottom style="dotted">
        <color rgb="FF152935"/>
      </bottom>
      <diagonal/>
    </border>
    <border>
      <left style="thin">
        <color rgb="FFE0E0E0"/>
      </left>
      <right style="thin">
        <color rgb="FFE0E0E0"/>
      </right>
      <top style="medium">
        <color rgb="FF152935"/>
      </top>
      <bottom style="dotted">
        <color rgb="FF152935"/>
      </bottom>
      <diagonal/>
    </border>
    <border>
      <left style="thin">
        <color rgb="FFE0E0E0"/>
      </left>
      <right style="medium">
        <color rgb="FF152935"/>
      </right>
      <top style="medium">
        <color rgb="FF152935"/>
      </top>
      <bottom style="dotted">
        <color rgb="FF152935"/>
      </bottom>
      <diagonal/>
    </border>
    <border>
      <left style="medium">
        <color rgb="FF152935"/>
      </left>
      <right/>
      <top style="dotted">
        <color rgb="FF152935"/>
      </top>
      <bottom style="medium">
        <color rgb="FF152935"/>
      </bottom>
      <diagonal/>
    </border>
    <border>
      <left/>
      <right/>
      <top style="dotted">
        <color rgb="FF152935"/>
      </top>
      <bottom style="medium">
        <color rgb="FF152935"/>
      </bottom>
      <diagonal/>
    </border>
    <border>
      <left style="thin">
        <color rgb="FFE0E0E0"/>
      </left>
      <right style="thin">
        <color rgb="FFE0E0E0"/>
      </right>
      <top style="dotted">
        <color rgb="FF152935"/>
      </top>
      <bottom style="medium">
        <color rgb="FF152935"/>
      </bottom>
      <diagonal/>
    </border>
    <border>
      <left style="thin">
        <color rgb="FFE0E0E0"/>
      </left>
      <right style="medium">
        <color rgb="FF152935"/>
      </right>
      <top style="dotted">
        <color rgb="FF152935"/>
      </top>
      <bottom style="medium">
        <color rgb="FF152935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152935"/>
      </left>
      <right style="thin">
        <color rgb="FFE0E0E0"/>
      </right>
      <top style="medium">
        <color rgb="FF152935"/>
      </top>
      <bottom/>
      <diagonal/>
    </border>
    <border>
      <left style="medium">
        <color rgb="FF152935"/>
      </left>
      <right style="thin">
        <color rgb="FFE0E0E0"/>
      </right>
      <top style="medium">
        <color rgb="FF152935"/>
      </top>
      <bottom style="dotted">
        <color rgb="FF152935"/>
      </bottom>
      <diagonal/>
    </border>
    <border>
      <left style="medium">
        <color rgb="FF152935"/>
      </left>
      <right style="thin">
        <color rgb="FFE0E0E0"/>
      </right>
      <top style="dotted">
        <color rgb="FF152935"/>
      </top>
      <bottom style="medium">
        <color rgb="FF152935"/>
      </bottom>
      <diagonal/>
    </border>
  </borders>
  <cellStyleXfs count="143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9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51" fillId="2" borderId="31" applyNumberFormat="0" applyFill="0" applyBorder="0" applyAlignment="0" applyProtection="0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  <xf numFmtId="0" fontId="4" fillId="2" borderId="31"/>
  </cellStyleXfs>
  <cellXfs count="1618">
    <xf numFmtId="0" fontId="0" fillId="0" borderId="0" xfId="0"/>
    <xf numFmtId="164" fontId="3" fillId="2" borderId="11" xfId="71" applyNumberFormat="1" applyFont="1" applyFill="1" applyBorder="1" applyAlignment="1">
      <alignment horizontal="right" vertical="top"/>
    </xf>
    <xf numFmtId="0" fontId="2" fillId="2" borderId="21" xfId="300" applyFont="1" applyFill="1" applyBorder="1" applyAlignment="1">
      <alignment horizontal="center" wrapText="1"/>
    </xf>
    <xf numFmtId="0" fontId="2" fillId="2" borderId="23" xfId="301" applyFont="1" applyFill="1" applyBorder="1" applyAlignment="1">
      <alignment horizontal="center" wrapText="1"/>
    </xf>
    <xf numFmtId="0" fontId="2" fillId="2" borderId="22" xfId="302" applyFont="1" applyFill="1" applyBorder="1" applyAlignment="1">
      <alignment horizontal="center" wrapText="1"/>
    </xf>
    <xf numFmtId="0" fontId="2" fillId="2" borderId="24" xfId="303" applyFont="1" applyFill="1" applyBorder="1" applyAlignment="1">
      <alignment horizontal="center" wrapText="1"/>
    </xf>
    <xf numFmtId="164" fontId="3" fillId="2" borderId="7" xfId="307" applyNumberFormat="1" applyFont="1" applyFill="1" applyBorder="1" applyAlignment="1">
      <alignment horizontal="right" vertical="top"/>
    </xf>
    <xf numFmtId="164" fontId="3" fillId="2" borderId="28" xfId="308" applyNumberFormat="1" applyFont="1" applyFill="1" applyBorder="1" applyAlignment="1">
      <alignment horizontal="right" vertical="top"/>
    </xf>
    <xf numFmtId="164" fontId="3" fillId="2" borderId="8" xfId="309" applyNumberFormat="1" applyFont="1" applyFill="1" applyBorder="1" applyAlignment="1">
      <alignment horizontal="right" vertical="top"/>
    </xf>
    <xf numFmtId="164" fontId="3" fillId="2" borderId="9" xfId="310" applyNumberFormat="1" applyFont="1" applyFill="1" applyBorder="1" applyAlignment="1">
      <alignment horizontal="right" vertical="top"/>
    </xf>
    <xf numFmtId="164" fontId="3" fillId="2" borderId="10" xfId="311" applyNumberFormat="1" applyFont="1" applyFill="1" applyBorder="1" applyAlignment="1">
      <alignment horizontal="right" vertical="top"/>
    </xf>
    <xf numFmtId="164" fontId="3" fillId="2" borderId="29" xfId="312" applyNumberFormat="1" applyFont="1" applyFill="1" applyBorder="1" applyAlignment="1">
      <alignment horizontal="right" vertical="top"/>
    </xf>
    <xf numFmtId="164" fontId="3" fillId="2" borderId="11" xfId="313" applyNumberFormat="1" applyFont="1" applyFill="1" applyBorder="1" applyAlignment="1">
      <alignment horizontal="right" vertical="top"/>
    </xf>
    <xf numFmtId="164" fontId="3" fillId="2" borderId="12" xfId="314" applyNumberFormat="1" applyFont="1" applyFill="1" applyBorder="1" applyAlignment="1">
      <alignment horizontal="right" vertical="top"/>
    </xf>
    <xf numFmtId="164" fontId="3" fillId="2" borderId="13" xfId="315" applyNumberFormat="1" applyFont="1" applyFill="1" applyBorder="1" applyAlignment="1">
      <alignment horizontal="right" vertical="top"/>
    </xf>
    <xf numFmtId="164" fontId="3" fillId="2" borderId="30" xfId="316" applyNumberFormat="1" applyFont="1" applyFill="1" applyBorder="1" applyAlignment="1">
      <alignment horizontal="right" vertical="top"/>
    </xf>
    <xf numFmtId="164" fontId="3" fillId="2" borderId="14" xfId="317" applyNumberFormat="1" applyFont="1" applyFill="1" applyBorder="1" applyAlignment="1">
      <alignment horizontal="right" vertical="top"/>
    </xf>
    <xf numFmtId="164" fontId="3" fillId="2" borderId="15" xfId="318" applyNumberFormat="1" applyFont="1" applyFill="1" applyBorder="1" applyAlignment="1">
      <alignment horizontal="right" vertical="top"/>
    </xf>
    <xf numFmtId="0" fontId="2" fillId="2" borderId="21" xfId="383" applyFont="1" applyFill="1" applyBorder="1" applyAlignment="1">
      <alignment horizontal="center" wrapText="1"/>
    </xf>
    <xf numFmtId="0" fontId="2" fillId="2" borderId="23" xfId="384" applyFont="1" applyFill="1" applyBorder="1" applyAlignment="1">
      <alignment horizontal="center" wrapText="1"/>
    </xf>
    <xf numFmtId="0" fontId="2" fillId="2" borderId="22" xfId="385" applyFont="1" applyFill="1" applyBorder="1" applyAlignment="1">
      <alignment horizontal="center" wrapText="1"/>
    </xf>
    <xf numFmtId="0" fontId="2" fillId="2" borderId="24" xfId="386" applyFont="1" applyFill="1" applyBorder="1" applyAlignment="1">
      <alignment horizontal="center" wrapText="1"/>
    </xf>
    <xf numFmtId="164" fontId="3" fillId="2" borderId="7" xfId="390" applyNumberFormat="1" applyFont="1" applyFill="1" applyBorder="1" applyAlignment="1">
      <alignment horizontal="right" vertical="top"/>
    </xf>
    <xf numFmtId="164" fontId="3" fillId="2" borderId="28" xfId="391" applyNumberFormat="1" applyFont="1" applyFill="1" applyBorder="1" applyAlignment="1">
      <alignment horizontal="right" vertical="top"/>
    </xf>
    <xf numFmtId="164" fontId="3" fillId="2" borderId="8" xfId="392" applyNumberFormat="1" applyFont="1" applyFill="1" applyBorder="1" applyAlignment="1">
      <alignment horizontal="right" vertical="top"/>
    </xf>
    <xf numFmtId="164" fontId="3" fillId="2" borderId="9" xfId="393" applyNumberFormat="1" applyFont="1" applyFill="1" applyBorder="1" applyAlignment="1">
      <alignment horizontal="right" vertical="top"/>
    </xf>
    <xf numFmtId="164" fontId="3" fillId="2" borderId="10" xfId="394" applyNumberFormat="1" applyFont="1" applyFill="1" applyBorder="1" applyAlignment="1">
      <alignment horizontal="right" vertical="top"/>
    </xf>
    <xf numFmtId="164" fontId="3" fillId="2" borderId="29" xfId="395" applyNumberFormat="1" applyFont="1" applyFill="1" applyBorder="1" applyAlignment="1">
      <alignment horizontal="right" vertical="top"/>
    </xf>
    <xf numFmtId="164" fontId="3" fillId="2" borderId="11" xfId="396" applyNumberFormat="1" applyFont="1" applyFill="1" applyBorder="1" applyAlignment="1">
      <alignment horizontal="right" vertical="top"/>
    </xf>
    <xf numFmtId="164" fontId="3" fillId="2" borderId="12" xfId="397" applyNumberFormat="1" applyFont="1" applyFill="1" applyBorder="1" applyAlignment="1">
      <alignment horizontal="right" vertical="top"/>
    </xf>
    <xf numFmtId="164" fontId="3" fillId="2" borderId="13" xfId="398" applyNumberFormat="1" applyFont="1" applyFill="1" applyBorder="1" applyAlignment="1">
      <alignment horizontal="right" vertical="top"/>
    </xf>
    <xf numFmtId="164" fontId="3" fillId="2" borderId="30" xfId="399" applyNumberFormat="1" applyFont="1" applyFill="1" applyBorder="1" applyAlignment="1">
      <alignment horizontal="right" vertical="top"/>
    </xf>
    <xf numFmtId="164" fontId="3" fillId="2" borderId="14" xfId="400" applyNumberFormat="1" applyFont="1" applyFill="1" applyBorder="1" applyAlignment="1">
      <alignment horizontal="right" vertical="top"/>
    </xf>
    <xf numFmtId="164" fontId="3" fillId="2" borderId="15" xfId="401" applyNumberFormat="1" applyFont="1" applyFill="1" applyBorder="1" applyAlignment="1">
      <alignment horizontal="right" vertical="top"/>
    </xf>
    <xf numFmtId="0" fontId="2" fillId="2" borderId="18" xfId="554" applyFont="1" applyFill="1" applyBorder="1" applyAlignment="1">
      <alignment horizontal="center"/>
    </xf>
    <xf numFmtId="0" fontId="2" fillId="2" borderId="19" xfId="556" applyFont="1" applyFill="1" applyBorder="1" applyAlignment="1">
      <alignment horizontal="center"/>
    </xf>
    <xf numFmtId="0" fontId="2" fillId="2" borderId="20" xfId="558" applyFont="1" applyFill="1" applyBorder="1" applyAlignment="1">
      <alignment horizontal="center"/>
    </xf>
    <xf numFmtId="0" fontId="2" fillId="3" borderId="4" xfId="562" applyFont="1" applyFill="1" applyBorder="1" applyAlignment="1">
      <alignment horizontal="left" vertical="top" wrapText="1"/>
    </xf>
    <xf numFmtId="0" fontId="2" fillId="3" borderId="5" xfId="563" applyFont="1" applyFill="1" applyBorder="1" applyAlignment="1">
      <alignment horizontal="left" vertical="top" wrapText="1"/>
    </xf>
    <xf numFmtId="0" fontId="2" fillId="3" borderId="6" xfId="564" applyFont="1" applyFill="1" applyBorder="1" applyAlignment="1">
      <alignment horizontal="left" vertical="top" wrapText="1"/>
    </xf>
    <xf numFmtId="0" fontId="5" fillId="0" borderId="0" xfId="0" applyFont="1"/>
    <xf numFmtId="0" fontId="2" fillId="3" borderId="26" xfId="44" applyFont="1" applyFill="1" applyBorder="1" applyAlignment="1">
      <alignment horizontal="left" vertical="top" wrapText="1"/>
    </xf>
    <xf numFmtId="2" fontId="0" fillId="0" borderId="0" xfId="0" applyNumberFormat="1"/>
    <xf numFmtId="2" fontId="5" fillId="0" borderId="0" xfId="0" applyNumberFormat="1" applyFont="1"/>
    <xf numFmtId="164" fontId="6" fillId="2" borderId="10" xfId="311" applyNumberFormat="1" applyFont="1" applyFill="1" applyBorder="1" applyAlignment="1">
      <alignment horizontal="right" vertical="top"/>
    </xf>
    <xf numFmtId="164" fontId="6" fillId="2" borderId="29" xfId="312" applyNumberFormat="1" applyFont="1" applyFill="1" applyBorder="1" applyAlignment="1">
      <alignment horizontal="right" vertical="top"/>
    </xf>
    <xf numFmtId="164" fontId="6" fillId="2" borderId="11" xfId="313" applyNumberFormat="1" applyFont="1" applyFill="1" applyBorder="1" applyAlignment="1">
      <alignment horizontal="right" vertical="top"/>
    </xf>
    <xf numFmtId="164" fontId="6" fillId="2" borderId="12" xfId="314" applyNumberFormat="1" applyFont="1" applyFill="1" applyBorder="1" applyAlignment="1">
      <alignment horizontal="right" vertical="top"/>
    </xf>
    <xf numFmtId="49" fontId="0" fillId="0" borderId="0" xfId="0" applyNumberFormat="1"/>
    <xf numFmtId="49" fontId="2" fillId="3" borderId="5" xfId="563" applyNumberFormat="1" applyFont="1" applyFill="1" applyBorder="1" applyAlignment="1">
      <alignment horizontal="left" vertical="top" wrapText="1"/>
    </xf>
    <xf numFmtId="49" fontId="2" fillId="3" borderId="6" xfId="564" applyNumberFormat="1" applyFont="1" applyFill="1" applyBorder="1" applyAlignment="1">
      <alignment horizontal="left" vertical="top" wrapText="1"/>
    </xf>
    <xf numFmtId="49" fontId="2" fillId="3" borderId="33" xfId="562" applyNumberFormat="1" applyFont="1" applyFill="1" applyBorder="1" applyAlignment="1">
      <alignment horizontal="left" vertical="top" wrapText="1"/>
    </xf>
    <xf numFmtId="49" fontId="2" fillId="3" borderId="34" xfId="562" applyNumberFormat="1" applyFont="1" applyFill="1" applyBorder="1" applyAlignment="1">
      <alignment horizontal="left" vertical="top" wrapText="1"/>
    </xf>
    <xf numFmtId="49" fontId="2" fillId="3" borderId="31" xfId="563" applyNumberFormat="1" applyFont="1" applyFill="1" applyBorder="1" applyAlignment="1">
      <alignment horizontal="left" vertical="top" wrapText="1"/>
    </xf>
    <xf numFmtId="0" fontId="9" fillId="2" borderId="31" xfId="632"/>
    <xf numFmtId="164" fontId="11" fillId="2" borderId="38" xfId="632" applyNumberFormat="1" applyFont="1" applyBorder="1" applyAlignment="1">
      <alignment horizontal="right" vertical="top"/>
    </xf>
    <xf numFmtId="164" fontId="11" fillId="2" borderId="39" xfId="632" applyNumberFormat="1" applyFont="1" applyBorder="1" applyAlignment="1">
      <alignment horizontal="right" vertical="top"/>
    </xf>
    <xf numFmtId="164" fontId="11" fillId="2" borderId="41" xfId="632" applyNumberFormat="1" applyFont="1" applyBorder="1" applyAlignment="1">
      <alignment horizontal="right" vertical="top"/>
    </xf>
    <xf numFmtId="164" fontId="11" fillId="2" borderId="42" xfId="632" applyNumberFormat="1" applyFont="1" applyBorder="1" applyAlignment="1">
      <alignment horizontal="right" vertical="top"/>
    </xf>
    <xf numFmtId="164" fontId="11" fillId="2" borderId="44" xfId="632" applyNumberFormat="1" applyFont="1" applyBorder="1" applyAlignment="1">
      <alignment horizontal="right" vertical="top"/>
    </xf>
    <xf numFmtId="164" fontId="11" fillId="2" borderId="45" xfId="632" applyNumberFormat="1" applyFont="1" applyBorder="1" applyAlignment="1">
      <alignment horizontal="right" vertical="top"/>
    </xf>
    <xf numFmtId="0" fontId="10" fillId="2" borderId="31" xfId="632" applyFont="1" applyAlignment="1">
      <alignment wrapText="1"/>
    </xf>
    <xf numFmtId="164" fontId="11" fillId="2" borderId="47" xfId="632" applyNumberFormat="1" applyFont="1" applyBorder="1" applyAlignment="1">
      <alignment horizontal="right" vertical="top"/>
    </xf>
    <xf numFmtId="164" fontId="11" fillId="2" borderId="48" xfId="632" applyNumberFormat="1" applyFont="1" applyBorder="1" applyAlignment="1">
      <alignment horizontal="right" vertical="top"/>
    </xf>
    <xf numFmtId="164" fontId="11" fillId="2" borderId="49" xfId="632" applyNumberFormat="1" applyFont="1" applyBorder="1" applyAlignment="1">
      <alignment horizontal="right" vertical="top"/>
    </xf>
    <xf numFmtId="164" fontId="11" fillId="2" borderId="50" xfId="632" applyNumberFormat="1" applyFont="1" applyBorder="1" applyAlignment="1">
      <alignment horizontal="right" vertical="top"/>
    </xf>
    <xf numFmtId="0" fontId="10" fillId="6" borderId="46" xfId="632" applyFont="1" applyFill="1" applyBorder="1" applyAlignment="1">
      <alignment horizontal="left" vertical="top" wrapText="1"/>
    </xf>
    <xf numFmtId="0" fontId="2" fillId="2" borderId="21" xfId="38" applyFont="1" applyFill="1" applyBorder="1" applyAlignment="1">
      <alignment horizontal="center" wrapText="1"/>
    </xf>
    <xf numFmtId="0" fontId="2" fillId="2" borderId="22" xfId="39" applyFont="1" applyFill="1" applyBorder="1" applyAlignment="1">
      <alignment horizontal="center" wrapText="1"/>
    </xf>
    <xf numFmtId="0" fontId="10" fillId="2" borderId="35" xfId="632" applyFont="1" applyBorder="1" applyAlignment="1">
      <alignment horizontal="center" wrapText="1"/>
    </xf>
    <xf numFmtId="0" fontId="10" fillId="2" borderId="36" xfId="632" applyFont="1" applyBorder="1" applyAlignment="1">
      <alignment horizontal="center" wrapText="1"/>
    </xf>
    <xf numFmtId="20" fontId="2" fillId="3" borderId="5" xfId="563" applyNumberFormat="1" applyFont="1" applyFill="1" applyBorder="1" applyAlignment="1">
      <alignment horizontal="left" vertical="top" wrapText="1"/>
    </xf>
    <xf numFmtId="0" fontId="2" fillId="2" borderId="31" xfId="29" applyFont="1" applyFill="1" applyBorder="1" applyAlignment="1">
      <alignment wrapText="1"/>
    </xf>
    <xf numFmtId="0" fontId="2" fillId="2" borderId="32" xfId="31" applyFont="1" applyFill="1" applyBorder="1" applyAlignment="1">
      <alignment wrapText="1"/>
    </xf>
    <xf numFmtId="0" fontId="10" fillId="7" borderId="37" xfId="632" applyFont="1" applyFill="1" applyBorder="1" applyAlignment="1">
      <alignment horizontal="left" vertical="top"/>
    </xf>
    <xf numFmtId="0" fontId="10" fillId="7" borderId="40" xfId="632" applyFont="1" applyFill="1" applyBorder="1" applyAlignment="1">
      <alignment horizontal="left" vertical="top"/>
    </xf>
    <xf numFmtId="0" fontId="10" fillId="7" borderId="43" xfId="632" applyFont="1" applyFill="1" applyBorder="1" applyAlignment="1">
      <alignment horizontal="left" vertical="top"/>
    </xf>
    <xf numFmtId="167" fontId="0" fillId="0" borderId="0" xfId="0" applyNumberFormat="1"/>
    <xf numFmtId="0" fontId="0" fillId="0" borderId="0" xfId="0" applyAlignment="1">
      <alignment wrapText="1"/>
    </xf>
    <xf numFmtId="49" fontId="9" fillId="2" borderId="31" xfId="1179" applyNumberFormat="1" applyAlignment="1">
      <alignment horizontal="left"/>
    </xf>
    <xf numFmtId="0" fontId="9" fillId="2" borderId="31" xfId="1179"/>
    <xf numFmtId="49" fontId="9" fillId="2" borderId="31" xfId="1179" applyNumberFormat="1" applyAlignment="1">
      <alignment vertical="top" wrapText="1"/>
    </xf>
    <xf numFmtId="164" fontId="14" fillId="4" borderId="54" xfId="1189" applyNumberFormat="1" applyFont="1" applyFill="1" applyBorder="1" applyAlignment="1">
      <alignment horizontal="right" vertical="center"/>
    </xf>
    <xf numFmtId="164" fontId="14" fillId="4" borderId="56" xfId="1192" applyNumberFormat="1" applyFont="1" applyFill="1" applyBorder="1" applyAlignment="1">
      <alignment horizontal="right" vertical="center"/>
    </xf>
    <xf numFmtId="170" fontId="14" fillId="4" borderId="56" xfId="1193" applyNumberFormat="1" applyFont="1" applyFill="1" applyBorder="1" applyAlignment="1">
      <alignment horizontal="right" vertical="center"/>
    </xf>
    <xf numFmtId="0" fontId="14" fillId="2" borderId="75" xfId="1198" applyFont="1" applyBorder="1" applyAlignment="1">
      <alignment horizontal="center" wrapText="1"/>
    </xf>
    <xf numFmtId="0" fontId="14" fillId="2" borderId="69" xfId="1186" applyFont="1" applyBorder="1" applyAlignment="1">
      <alignment horizontal="center" wrapText="1"/>
    </xf>
    <xf numFmtId="0" fontId="14" fillId="2" borderId="77" xfId="1201" applyFont="1" applyBorder="1" applyAlignment="1">
      <alignment horizontal="center" wrapText="1"/>
    </xf>
    <xf numFmtId="0" fontId="14" fillId="2" borderId="72" xfId="1202" applyFont="1" applyBorder="1" applyAlignment="1">
      <alignment horizontal="center" wrapText="1"/>
    </xf>
    <xf numFmtId="0" fontId="14" fillId="2" borderId="70" xfId="1194" applyFont="1" applyBorder="1" applyAlignment="1">
      <alignment horizontal="left" vertical="top" wrapText="1"/>
    </xf>
    <xf numFmtId="0" fontId="14" fillId="2" borderId="71" xfId="1195" applyFont="1" applyBorder="1" applyAlignment="1">
      <alignment horizontal="left" vertical="top"/>
    </xf>
    <xf numFmtId="165" fontId="14" fillId="2" borderId="72" xfId="1196" applyNumberFormat="1" applyFont="1" applyBorder="1" applyAlignment="1">
      <alignment horizontal="right" vertical="center"/>
    </xf>
    <xf numFmtId="0" fontId="14" fillId="2" borderId="81" xfId="1186" applyFont="1" applyBorder="1" applyAlignment="1">
      <alignment horizontal="center" wrapText="1"/>
    </xf>
    <xf numFmtId="0" fontId="14" fillId="2" borderId="82" xfId="1186" applyFont="1" applyBorder="1" applyAlignment="1">
      <alignment horizontal="center" wrapText="1"/>
    </xf>
    <xf numFmtId="0" fontId="14" fillId="2" borderId="83" xfId="1202" applyFont="1" applyBorder="1" applyAlignment="1">
      <alignment horizontal="center" wrapText="1"/>
    </xf>
    <xf numFmtId="0" fontId="14" fillId="2" borderId="84" xfId="1202" applyFont="1" applyBorder="1" applyAlignment="1">
      <alignment horizontal="center" wrapText="1"/>
    </xf>
    <xf numFmtId="164" fontId="14" fillId="2" borderId="53" xfId="1209" applyNumberFormat="1" applyFont="1" applyBorder="1" applyAlignment="1">
      <alignment horizontal="right" vertical="center"/>
    </xf>
    <xf numFmtId="164" fontId="14" fillId="2" borderId="54" xfId="1189" applyNumberFormat="1" applyFont="1" applyBorder="1" applyAlignment="1">
      <alignment horizontal="right" vertical="center"/>
    </xf>
    <xf numFmtId="164" fontId="14" fillId="4" borderId="85" xfId="1189" applyNumberFormat="1" applyFont="1" applyFill="1" applyBorder="1" applyAlignment="1">
      <alignment horizontal="right" vertical="center"/>
    </xf>
    <xf numFmtId="164" fontId="14" fillId="4" borderId="86" xfId="1189" applyNumberFormat="1" applyFont="1" applyFill="1" applyBorder="1" applyAlignment="1">
      <alignment horizontal="right" vertical="center"/>
    </xf>
    <xf numFmtId="0" fontId="15" fillId="9" borderId="87" xfId="0" applyFont="1" applyFill="1" applyBorder="1"/>
    <xf numFmtId="0" fontId="0" fillId="9" borderId="88" xfId="0" applyFill="1" applyBorder="1"/>
    <xf numFmtId="0" fontId="0" fillId="9" borderId="89" xfId="0" applyFill="1" applyBorder="1"/>
    <xf numFmtId="164" fontId="14" fillId="2" borderId="79" xfId="1210" applyNumberFormat="1" applyFont="1" applyBorder="1" applyAlignment="1">
      <alignment horizontal="right" vertical="center"/>
    </xf>
    <xf numFmtId="164" fontId="14" fillId="2" borderId="56" xfId="1192" applyNumberFormat="1" applyFont="1" applyBorder="1" applyAlignment="1">
      <alignment horizontal="right" vertical="center"/>
    </xf>
    <xf numFmtId="164" fontId="14" fillId="4" borderId="60" xfId="1192" applyNumberFormat="1" applyFont="1" applyFill="1" applyBorder="1" applyAlignment="1">
      <alignment horizontal="right" vertical="center"/>
    </xf>
    <xf numFmtId="164" fontId="14" fillId="4" borderId="90" xfId="1192" applyNumberFormat="1" applyFont="1" applyFill="1" applyBorder="1" applyAlignment="1">
      <alignment horizontal="right" vertical="center"/>
    </xf>
    <xf numFmtId="0" fontId="0" fillId="9" borderId="91" xfId="0" applyFill="1" applyBorder="1"/>
    <xf numFmtId="0" fontId="0" fillId="9" borderId="31" xfId="0" applyFill="1" applyBorder="1"/>
    <xf numFmtId="0" fontId="0" fillId="9" borderId="92" xfId="0" applyFill="1" applyBorder="1"/>
    <xf numFmtId="0" fontId="0" fillId="9" borderId="93" xfId="0" applyFill="1" applyBorder="1"/>
    <xf numFmtId="0" fontId="0" fillId="9" borderId="94" xfId="0" applyFill="1" applyBorder="1"/>
    <xf numFmtId="0" fontId="0" fillId="9" borderId="95" xfId="0" applyFill="1" applyBorder="1"/>
    <xf numFmtId="0" fontId="16" fillId="2" borderId="31" xfId="0" applyFont="1" applyFill="1" applyBorder="1"/>
    <xf numFmtId="0" fontId="0" fillId="2" borderId="0" xfId="0" applyFill="1"/>
    <xf numFmtId="170" fontId="14" fillId="2" borderId="79" xfId="1211" applyNumberFormat="1" applyFont="1" applyBorder="1" applyAlignment="1">
      <alignment horizontal="right" vertical="center"/>
    </xf>
    <xf numFmtId="170" fontId="14" fillId="2" borderId="56" xfId="1193" applyNumberFormat="1" applyFont="1" applyBorder="1" applyAlignment="1">
      <alignment horizontal="right" vertical="center"/>
    </xf>
    <xf numFmtId="170" fontId="14" fillId="4" borderId="90" xfId="1193" applyNumberFormat="1" applyFont="1" applyFill="1" applyBorder="1" applyAlignment="1">
      <alignment horizontal="right" vertical="center"/>
    </xf>
    <xf numFmtId="0" fontId="0" fillId="2" borderId="31" xfId="0" applyFill="1" applyBorder="1"/>
    <xf numFmtId="170" fontId="14" fillId="4" borderId="60" xfId="1193" applyNumberFormat="1" applyFont="1" applyFill="1" applyBorder="1" applyAlignment="1">
      <alignment horizontal="right" vertical="center"/>
    </xf>
    <xf numFmtId="165" fontId="14" fillId="2" borderId="83" xfId="1196" applyNumberFormat="1" applyFont="1" applyBorder="1" applyAlignment="1">
      <alignment horizontal="right" vertical="center"/>
    </xf>
    <xf numFmtId="165" fontId="14" fillId="2" borderId="96" xfId="1207" applyNumberFormat="1" applyFont="1" applyBorder="1" applyAlignment="1">
      <alignment horizontal="right" vertical="center"/>
    </xf>
    <xf numFmtId="0" fontId="14" fillId="2" borderId="31" xfId="1191" applyFont="1" applyAlignment="1">
      <alignment horizontal="left" vertical="top" wrapText="1"/>
    </xf>
    <xf numFmtId="169" fontId="0" fillId="0" borderId="0" xfId="0" applyNumberFormat="1"/>
    <xf numFmtId="0" fontId="14" fillId="2" borderId="77" xfId="1302" applyFont="1" applyBorder="1" applyAlignment="1">
      <alignment horizontal="center" wrapText="1"/>
    </xf>
    <xf numFmtId="0" fontId="14" fillId="2" borderId="72" xfId="1303" applyFont="1" applyBorder="1" applyAlignment="1">
      <alignment horizontal="center" wrapText="1"/>
    </xf>
    <xf numFmtId="0" fontId="14" fillId="2" borderId="78" xfId="1303" applyFont="1" applyBorder="1" applyAlignment="1">
      <alignment horizontal="center" wrapText="1"/>
    </xf>
    <xf numFmtId="0" fontId="14" fillId="2" borderId="62" xfId="1304" applyFont="1" applyBorder="1" applyAlignment="1">
      <alignment horizontal="left" vertical="top" wrapText="1"/>
    </xf>
    <xf numFmtId="165" fontId="14" fillId="2" borderId="53" xfId="1305" applyNumberFormat="1" applyFont="1" applyBorder="1" applyAlignment="1">
      <alignment horizontal="right" vertical="center"/>
    </xf>
    <xf numFmtId="165" fontId="14" fillId="2" borderId="54" xfId="1306" applyNumberFormat="1" applyFont="1" applyBorder="1" applyAlignment="1">
      <alignment horizontal="right" vertical="center"/>
    </xf>
    <xf numFmtId="165" fontId="14" fillId="2" borderId="55" xfId="1306" applyNumberFormat="1" applyFont="1" applyBorder="1" applyAlignment="1">
      <alignment horizontal="right" vertical="center"/>
    </xf>
    <xf numFmtId="0" fontId="14" fillId="2" borderId="63" xfId="1307" applyFont="1" applyBorder="1" applyAlignment="1">
      <alignment horizontal="left" vertical="top" wrapText="1"/>
    </xf>
    <xf numFmtId="165" fontId="14" fillId="2" borderId="79" xfId="1308" applyNumberFormat="1" applyFont="1" applyBorder="1" applyAlignment="1">
      <alignment horizontal="right" vertical="center"/>
    </xf>
    <xf numFmtId="165" fontId="14" fillId="2" borderId="56" xfId="1309" applyNumberFormat="1" applyFont="1" applyBorder="1" applyAlignment="1">
      <alignment horizontal="right" vertical="center"/>
    </xf>
    <xf numFmtId="165" fontId="14" fillId="2" borderId="80" xfId="1309" applyNumberFormat="1" applyFont="1" applyBorder="1" applyAlignment="1">
      <alignment horizontal="right" vertical="center"/>
    </xf>
    <xf numFmtId="0" fontId="14" fillId="2" borderId="70" xfId="1310" applyFont="1" applyBorder="1" applyAlignment="1">
      <alignment horizontal="left" vertical="top" wrapText="1"/>
    </xf>
    <xf numFmtId="165" fontId="14" fillId="2" borderId="77" xfId="1311" applyNumberFormat="1" applyFont="1" applyBorder="1" applyAlignment="1">
      <alignment horizontal="right" vertical="center"/>
    </xf>
    <xf numFmtId="165" fontId="14" fillId="2" borderId="72" xfId="1311" applyNumberFormat="1" applyFont="1" applyBorder="1" applyAlignment="1">
      <alignment horizontal="right" vertical="center"/>
    </xf>
    <xf numFmtId="165" fontId="14" fillId="2" borderId="78" xfId="1312" applyNumberFormat="1" applyFont="1" applyBorder="1" applyAlignment="1">
      <alignment horizontal="right" vertical="center"/>
    </xf>
    <xf numFmtId="0" fontId="20" fillId="0" borderId="31" xfId="0" applyFont="1" applyBorder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2" fillId="0" borderId="0" xfId="0" applyFont="1" applyAlignment="1">
      <alignment vertical="center"/>
    </xf>
    <xf numFmtId="0" fontId="25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3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vertical="center"/>
    </xf>
    <xf numFmtId="0" fontId="0" fillId="0" borderId="31" xfId="0" applyBorder="1" applyAlignment="1">
      <alignment vertical="top" wrapText="1"/>
    </xf>
    <xf numFmtId="0" fontId="0" fillId="0" borderId="0" xfId="0" applyAlignment="1">
      <alignment vertical="top" wrapText="1"/>
    </xf>
    <xf numFmtId="0" fontId="0" fillId="0" borderId="51" xfId="0" applyBorder="1"/>
    <xf numFmtId="0" fontId="0" fillId="0" borderId="31" xfId="0" applyBorder="1"/>
    <xf numFmtId="167" fontId="0" fillId="0" borderId="51" xfId="0" applyNumberFormat="1" applyBorder="1"/>
    <xf numFmtId="0" fontId="30" fillId="0" borderId="0" xfId="0" applyFont="1"/>
    <xf numFmtId="0" fontId="4" fillId="0" borderId="0" xfId="0" applyFont="1"/>
    <xf numFmtId="0" fontId="32" fillId="0" borderId="0" xfId="0" applyFont="1"/>
    <xf numFmtId="0" fontId="2" fillId="2" borderId="51" xfId="585" applyFont="1" applyFill="1" applyBorder="1" applyAlignment="1">
      <alignment horizontal="center" wrapText="1"/>
    </xf>
    <xf numFmtId="0" fontId="2" fillId="2" borderId="51" xfId="586" applyFont="1" applyFill="1" applyBorder="1" applyAlignment="1">
      <alignment horizontal="center" wrapText="1"/>
    </xf>
    <xf numFmtId="0" fontId="2" fillId="2" borderId="51" xfId="587" applyFont="1" applyFill="1" applyBorder="1" applyAlignment="1">
      <alignment horizontal="center" wrapText="1"/>
    </xf>
    <xf numFmtId="0" fontId="2" fillId="2" borderId="51" xfId="588" applyFont="1" applyFill="1" applyBorder="1" applyAlignment="1">
      <alignment horizontal="center" wrapText="1"/>
    </xf>
    <xf numFmtId="0" fontId="0" fillId="0" borderId="51" xfId="0" applyBorder="1" applyAlignment="1">
      <alignment horizontal="left" vertical="center"/>
    </xf>
    <xf numFmtId="164" fontId="3" fillId="2" borderId="51" xfId="591" applyNumberFormat="1" applyFont="1" applyFill="1" applyBorder="1" applyAlignment="1">
      <alignment horizontal="right" vertical="top"/>
    </xf>
    <xf numFmtId="164" fontId="3" fillId="2" borderId="51" xfId="592" applyNumberFormat="1" applyFont="1" applyFill="1" applyBorder="1" applyAlignment="1">
      <alignment horizontal="right" vertical="top"/>
    </xf>
    <xf numFmtId="164" fontId="3" fillId="2" borderId="51" xfId="593" applyNumberFormat="1" applyFont="1" applyFill="1" applyBorder="1" applyAlignment="1">
      <alignment horizontal="right" vertical="top"/>
    </xf>
    <xf numFmtId="164" fontId="3" fillId="2" borderId="51" xfId="594" applyNumberFormat="1" applyFont="1" applyFill="1" applyBorder="1" applyAlignment="1">
      <alignment horizontal="right" vertical="top"/>
    </xf>
    <xf numFmtId="164" fontId="3" fillId="2" borderId="51" xfId="595" applyNumberFormat="1" applyFont="1" applyFill="1" applyBorder="1" applyAlignment="1">
      <alignment horizontal="right" vertical="top"/>
    </xf>
    <xf numFmtId="164" fontId="3" fillId="2" borderId="51" xfId="596" applyNumberFormat="1" applyFont="1" applyFill="1" applyBorder="1" applyAlignment="1">
      <alignment horizontal="right" vertical="top"/>
    </xf>
    <xf numFmtId="164" fontId="3" fillId="2" borderId="51" xfId="597" applyNumberFormat="1" applyFont="1" applyFill="1" applyBorder="1" applyAlignment="1">
      <alignment horizontal="right" vertical="top"/>
    </xf>
    <xf numFmtId="164" fontId="3" fillId="2" borderId="51" xfId="598" applyNumberFormat="1" applyFont="1" applyFill="1" applyBorder="1" applyAlignment="1">
      <alignment horizontal="right" vertical="top"/>
    </xf>
    <xf numFmtId="0" fontId="2" fillId="0" borderId="51" xfId="585" applyFont="1" applyBorder="1" applyAlignment="1">
      <alignment horizontal="center" wrapText="1"/>
    </xf>
    <xf numFmtId="0" fontId="2" fillId="0" borderId="51" xfId="586" applyFont="1" applyBorder="1" applyAlignment="1">
      <alignment horizontal="center" wrapText="1"/>
    </xf>
    <xf numFmtId="0" fontId="2" fillId="0" borderId="51" xfId="587" applyFont="1" applyBorder="1" applyAlignment="1">
      <alignment horizontal="center" wrapText="1"/>
    </xf>
    <xf numFmtId="0" fontId="2" fillId="2" borderId="51" xfId="614" applyFont="1" applyFill="1" applyBorder="1" applyAlignment="1">
      <alignment horizontal="center" wrapText="1"/>
    </xf>
    <xf numFmtId="0" fontId="2" fillId="2" borderId="51" xfId="615" applyFont="1" applyFill="1" applyBorder="1" applyAlignment="1">
      <alignment horizontal="center" wrapText="1"/>
    </xf>
    <xf numFmtId="0" fontId="2" fillId="2" borderId="51" xfId="616" applyFont="1" applyFill="1" applyBorder="1" applyAlignment="1">
      <alignment horizontal="center" wrapText="1"/>
    </xf>
    <xf numFmtId="0" fontId="2" fillId="2" borderId="51" xfId="617" applyFont="1" applyFill="1" applyBorder="1" applyAlignment="1">
      <alignment horizontal="center" wrapText="1"/>
    </xf>
    <xf numFmtId="164" fontId="3" fillId="2" borderId="51" xfId="620" applyNumberFormat="1" applyFont="1" applyFill="1" applyBorder="1" applyAlignment="1">
      <alignment horizontal="right" vertical="top"/>
    </xf>
    <xf numFmtId="164" fontId="3" fillId="2" borderId="51" xfId="621" applyNumberFormat="1" applyFont="1" applyFill="1" applyBorder="1" applyAlignment="1">
      <alignment horizontal="right" vertical="top"/>
    </xf>
    <xf numFmtId="164" fontId="3" fillId="2" borderId="51" xfId="622" applyNumberFormat="1" applyFont="1" applyFill="1" applyBorder="1" applyAlignment="1">
      <alignment horizontal="right" vertical="top"/>
    </xf>
    <xf numFmtId="164" fontId="3" fillId="2" borderId="51" xfId="623" applyNumberFormat="1" applyFont="1" applyFill="1" applyBorder="1" applyAlignment="1">
      <alignment horizontal="right" vertical="top"/>
    </xf>
    <xf numFmtId="164" fontId="3" fillId="2" borderId="51" xfId="624" applyNumberFormat="1" applyFont="1" applyFill="1" applyBorder="1" applyAlignment="1">
      <alignment horizontal="right" vertical="top"/>
    </xf>
    <xf numFmtId="164" fontId="3" fillId="2" borderId="51" xfId="625" applyNumberFormat="1" applyFont="1" applyFill="1" applyBorder="1" applyAlignment="1">
      <alignment horizontal="right" vertical="top"/>
    </xf>
    <xf numFmtId="164" fontId="3" fillId="2" borderId="51" xfId="626" applyNumberFormat="1" applyFont="1" applyFill="1" applyBorder="1" applyAlignment="1">
      <alignment horizontal="right" vertical="top"/>
    </xf>
    <xf numFmtId="164" fontId="3" fillId="2" borderId="51" xfId="627" applyNumberFormat="1" applyFont="1" applyFill="1" applyBorder="1" applyAlignment="1">
      <alignment horizontal="right" vertical="top"/>
    </xf>
    <xf numFmtId="2" fontId="0" fillId="0" borderId="51" xfId="0" applyNumberFormat="1" applyBorder="1"/>
    <xf numFmtId="0" fontId="2" fillId="2" borderId="51" xfId="29" applyFont="1" applyFill="1" applyBorder="1" applyAlignment="1">
      <alignment wrapText="1"/>
    </xf>
    <xf numFmtId="0" fontId="2" fillId="2" borderId="51" xfId="31" applyFont="1" applyFill="1" applyBorder="1" applyAlignment="1">
      <alignment wrapText="1"/>
    </xf>
    <xf numFmtId="0" fontId="2" fillId="2" borderId="51" xfId="38" applyFont="1" applyFill="1" applyBorder="1" applyAlignment="1">
      <alignment horizontal="center" wrapText="1"/>
    </xf>
    <xf numFmtId="0" fontId="2" fillId="2" borderId="51" xfId="39" applyFont="1" applyFill="1" applyBorder="1" applyAlignment="1">
      <alignment horizontal="center" wrapText="1"/>
    </xf>
    <xf numFmtId="0" fontId="2" fillId="0" borderId="51" xfId="39" applyFont="1" applyBorder="1" applyAlignment="1">
      <alignment horizontal="center" wrapText="1"/>
    </xf>
    <xf numFmtId="0" fontId="2" fillId="3" borderId="51" xfId="44" applyFont="1" applyFill="1" applyBorder="1" applyAlignment="1">
      <alignment horizontal="left" vertical="top" wrapText="1"/>
    </xf>
    <xf numFmtId="164" fontId="3" fillId="2" borderId="51" xfId="70" applyNumberFormat="1" applyFont="1" applyFill="1" applyBorder="1" applyAlignment="1">
      <alignment horizontal="right" vertical="top"/>
    </xf>
    <xf numFmtId="164" fontId="3" fillId="2" borderId="51" xfId="71" applyNumberFormat="1" applyFont="1" applyFill="1" applyBorder="1" applyAlignment="1">
      <alignment horizontal="right" vertical="top"/>
    </xf>
    <xf numFmtId="164" fontId="3" fillId="0" borderId="51" xfId="71" applyNumberFormat="1" applyFont="1" applyBorder="1" applyAlignment="1">
      <alignment horizontal="right" vertical="top"/>
    </xf>
    <xf numFmtId="0" fontId="10" fillId="6" borderId="125" xfId="632" applyFont="1" applyFill="1" applyBorder="1" applyAlignment="1">
      <alignment horizontal="left" vertical="top" wrapText="1"/>
    </xf>
    <xf numFmtId="0" fontId="22" fillId="0" borderId="0" xfId="0" applyFont="1" applyAlignment="1">
      <alignment vertical="center" wrapText="1"/>
    </xf>
    <xf numFmtId="0" fontId="3" fillId="2" borderId="3" xfId="540" applyFont="1" applyFill="1" applyBorder="1" applyAlignment="1">
      <alignment vertical="top"/>
    </xf>
    <xf numFmtId="0" fontId="2" fillId="0" borderId="31" xfId="687" applyFont="1" applyFill="1" applyAlignment="1">
      <alignment wrapText="1"/>
    </xf>
    <xf numFmtId="0" fontId="2" fillId="0" borderId="31" xfId="688" applyFont="1" applyFill="1" applyAlignment="1">
      <alignment wrapText="1"/>
    </xf>
    <xf numFmtId="0" fontId="2" fillId="0" borderId="31" xfId="689" applyFont="1" applyFill="1" applyAlignment="1">
      <alignment wrapText="1"/>
    </xf>
    <xf numFmtId="167" fontId="3" fillId="2" borderId="31" xfId="1039" applyNumberFormat="1" applyFont="1" applyAlignment="1">
      <alignment horizontal="right" vertical="top"/>
    </xf>
    <xf numFmtId="167" fontId="3" fillId="2" borderId="31" xfId="1040" applyNumberFormat="1" applyFont="1" applyAlignment="1">
      <alignment horizontal="right" vertical="top"/>
    </xf>
    <xf numFmtId="167" fontId="3" fillId="2" borderId="31" xfId="1041" applyNumberFormat="1" applyFont="1" applyAlignment="1">
      <alignment horizontal="right" vertical="top"/>
    </xf>
    <xf numFmtId="167" fontId="3" fillId="2" borderId="31" xfId="1042" applyNumberFormat="1" applyFont="1" applyAlignment="1">
      <alignment horizontal="right" vertical="top"/>
    </xf>
    <xf numFmtId="167" fontId="3" fillId="2" borderId="31" xfId="1043" applyNumberFormat="1" applyFont="1" applyAlignment="1">
      <alignment horizontal="right" vertical="top"/>
    </xf>
    <xf numFmtId="167" fontId="3" fillId="2" borderId="31" xfId="1044" applyNumberFormat="1" applyFont="1" applyAlignment="1">
      <alignment horizontal="right" vertical="top"/>
    </xf>
    <xf numFmtId="167" fontId="3" fillId="2" borderId="31" xfId="1045" applyNumberFormat="1" applyFont="1" applyAlignment="1">
      <alignment horizontal="right" vertical="top"/>
    </xf>
    <xf numFmtId="167" fontId="3" fillId="2" borderId="31" xfId="1046" applyNumberFormat="1" applyFont="1" applyAlignment="1">
      <alignment horizontal="right" vertical="top"/>
    </xf>
    <xf numFmtId="167" fontId="3" fillId="2" borderId="31" xfId="1047" applyNumberFormat="1" applyFont="1" applyAlignment="1">
      <alignment horizontal="right" vertical="top"/>
    </xf>
    <xf numFmtId="167" fontId="3" fillId="2" borderId="31" xfId="1048" applyNumberFormat="1" applyFont="1" applyAlignment="1">
      <alignment horizontal="right" vertical="top"/>
    </xf>
    <xf numFmtId="167" fontId="3" fillId="2" borderId="31" xfId="1049" applyNumberFormat="1" applyFont="1" applyAlignment="1">
      <alignment horizontal="right" vertical="top"/>
    </xf>
    <xf numFmtId="167" fontId="3" fillId="2" borderId="31" xfId="1050" applyNumberFormat="1" applyFont="1" applyAlignment="1">
      <alignment horizontal="right" vertical="top"/>
    </xf>
    <xf numFmtId="164" fontId="3" fillId="2" borderId="31" xfId="1039" applyNumberFormat="1" applyFont="1" applyAlignment="1">
      <alignment horizontal="right" vertical="top"/>
    </xf>
    <xf numFmtId="164" fontId="3" fillId="2" borderId="31" xfId="1040" applyNumberFormat="1" applyFont="1" applyAlignment="1">
      <alignment horizontal="right" vertical="top"/>
    </xf>
    <xf numFmtId="164" fontId="3" fillId="2" borderId="31" xfId="1041" applyNumberFormat="1" applyFont="1" applyAlignment="1">
      <alignment horizontal="right" vertical="top"/>
    </xf>
    <xf numFmtId="164" fontId="3" fillId="2" borderId="31" xfId="1042" applyNumberFormat="1" applyFont="1" applyAlignment="1">
      <alignment horizontal="right" vertical="top"/>
    </xf>
    <xf numFmtId="164" fontId="3" fillId="2" borderId="31" xfId="1043" applyNumberFormat="1" applyFont="1" applyAlignment="1">
      <alignment horizontal="right" vertical="top"/>
    </xf>
    <xf numFmtId="164" fontId="3" fillId="2" borderId="31" xfId="1044" applyNumberFormat="1" applyFont="1" applyAlignment="1">
      <alignment horizontal="right" vertical="top"/>
    </xf>
    <xf numFmtId="164" fontId="3" fillId="2" borderId="31" xfId="1045" applyNumberFormat="1" applyFont="1" applyAlignment="1">
      <alignment horizontal="right" vertical="top"/>
    </xf>
    <xf numFmtId="164" fontId="3" fillId="2" borderId="31" xfId="1046" applyNumberFormat="1" applyFont="1" applyAlignment="1">
      <alignment horizontal="right" vertical="top"/>
    </xf>
    <xf numFmtId="164" fontId="3" fillId="2" borderId="31" xfId="1047" applyNumberFormat="1" applyFont="1" applyAlignment="1">
      <alignment horizontal="right" vertical="top"/>
    </xf>
    <xf numFmtId="164" fontId="3" fillId="2" borderId="31" xfId="1048" applyNumberFormat="1" applyFont="1" applyAlignment="1">
      <alignment horizontal="right" vertical="top"/>
    </xf>
    <xf numFmtId="164" fontId="3" fillId="2" borderId="31" xfId="1049" applyNumberFormat="1" applyFont="1" applyAlignment="1">
      <alignment horizontal="right" vertical="top"/>
    </xf>
    <xf numFmtId="164" fontId="3" fillId="2" borderId="31" xfId="1050" applyNumberFormat="1" applyFont="1" applyAlignment="1">
      <alignment horizontal="right" vertical="top"/>
    </xf>
    <xf numFmtId="0" fontId="2" fillId="2" borderId="31" xfId="1034" applyFont="1" applyAlignment="1">
      <alignment horizontal="center"/>
    </xf>
    <xf numFmtId="0" fontId="2" fillId="2" borderId="31" xfId="1035" applyFont="1" applyAlignment="1">
      <alignment horizontal="center"/>
    </xf>
    <xf numFmtId="0" fontId="2" fillId="2" borderId="31" xfId="1036" applyFont="1" applyAlignment="1">
      <alignment horizontal="center"/>
    </xf>
    <xf numFmtId="0" fontId="2" fillId="2" borderId="31" xfId="1037" applyFont="1" applyAlignment="1">
      <alignment horizontal="center"/>
    </xf>
    <xf numFmtId="0" fontId="3" fillId="2" borderId="31" xfId="1052" applyFont="1" applyAlignment="1">
      <alignment vertical="top"/>
    </xf>
    <xf numFmtId="0" fontId="3" fillId="2" borderId="31" xfId="1053" applyFont="1" applyAlignment="1">
      <alignment vertical="top"/>
    </xf>
    <xf numFmtId="0" fontId="2" fillId="2" borderId="31" xfId="1029" applyFont="1"/>
    <xf numFmtId="0" fontId="2" fillId="2" borderId="31" xfId="1030" applyFont="1"/>
    <xf numFmtId="0" fontId="2" fillId="2" borderId="31" xfId="1031" applyFont="1"/>
    <xf numFmtId="0" fontId="2" fillId="2" borderId="31" xfId="1032" applyFont="1"/>
    <xf numFmtId="0" fontId="1" fillId="2" borderId="31" xfId="1008" applyFont="1" applyAlignment="1">
      <alignment vertical="center"/>
    </xf>
    <xf numFmtId="0" fontId="1" fillId="2" borderId="31" xfId="1009" applyFont="1" applyAlignment="1">
      <alignment vertical="center"/>
    </xf>
    <xf numFmtId="0" fontId="2" fillId="0" borderId="31" xfId="1033" applyFont="1" applyFill="1"/>
    <xf numFmtId="0" fontId="2" fillId="0" borderId="31" xfId="1038" applyFont="1" applyFill="1" applyAlignment="1">
      <alignment horizontal="left" vertical="top"/>
    </xf>
    <xf numFmtId="0" fontId="2" fillId="0" borderId="31" xfId="1024" applyFont="1" applyFill="1" applyAlignment="1">
      <alignment horizontal="left" vertical="top"/>
    </xf>
    <xf numFmtId="0" fontId="2" fillId="0" borderId="31" xfId="1027" applyFont="1" applyFill="1" applyAlignment="1">
      <alignment horizontal="left" vertical="top"/>
    </xf>
    <xf numFmtId="0" fontId="3" fillId="0" borderId="31" xfId="1051" applyFont="1" applyFill="1" applyAlignment="1">
      <alignment vertical="top"/>
    </xf>
    <xf numFmtId="0" fontId="1" fillId="0" borderId="31" xfId="1007" applyFont="1" applyFill="1" applyAlignment="1">
      <alignment vertical="center"/>
    </xf>
    <xf numFmtId="0" fontId="2" fillId="0" borderId="31" xfId="1029" applyFont="1" applyFill="1"/>
    <xf numFmtId="164" fontId="3" fillId="2" borderId="31" xfId="1086" applyNumberFormat="1" applyFont="1" applyAlignment="1">
      <alignment horizontal="right" vertical="top"/>
    </xf>
    <xf numFmtId="164" fontId="3" fillId="2" borderId="31" xfId="1087" applyNumberFormat="1" applyFont="1" applyAlignment="1">
      <alignment horizontal="right" vertical="top"/>
    </xf>
    <xf numFmtId="164" fontId="3" fillId="2" borderId="31" xfId="1088" applyNumberFormat="1" applyFont="1" applyAlignment="1">
      <alignment horizontal="right" vertical="top"/>
    </xf>
    <xf numFmtId="164" fontId="3" fillId="2" borderId="31" xfId="1089" applyNumberFormat="1" applyFont="1" applyAlignment="1">
      <alignment horizontal="right" vertical="top"/>
    </xf>
    <xf numFmtId="164" fontId="3" fillId="2" borderId="31" xfId="1090" applyNumberFormat="1" applyFont="1" applyAlignment="1">
      <alignment horizontal="right" vertical="top"/>
    </xf>
    <xf numFmtId="164" fontId="3" fillId="2" borderId="31" xfId="1091" applyNumberFormat="1" applyFont="1" applyAlignment="1">
      <alignment horizontal="right" vertical="top"/>
    </xf>
    <xf numFmtId="164" fontId="3" fillId="2" borderId="31" xfId="1092" applyNumberFormat="1" applyFont="1" applyAlignment="1">
      <alignment horizontal="right" vertical="top"/>
    </xf>
    <xf numFmtId="164" fontId="3" fillId="2" borderId="31" xfId="1093" applyNumberFormat="1" applyFont="1" applyAlignment="1">
      <alignment horizontal="right" vertical="top"/>
    </xf>
    <xf numFmtId="164" fontId="3" fillId="2" borderId="31" xfId="1094" applyNumberFormat="1" applyFont="1" applyAlignment="1">
      <alignment horizontal="right" vertical="top"/>
    </xf>
    <xf numFmtId="164" fontId="3" fillId="2" borderId="31" xfId="1095" applyNumberFormat="1" applyFont="1" applyAlignment="1">
      <alignment horizontal="right" vertical="top"/>
    </xf>
    <xf numFmtId="164" fontId="3" fillId="2" borderId="31" xfId="1096" applyNumberFormat="1" applyFont="1" applyAlignment="1">
      <alignment horizontal="right" vertical="top"/>
    </xf>
    <xf numFmtId="164" fontId="3" fillId="2" borderId="31" xfId="1097" applyNumberFormat="1" applyFont="1" applyAlignment="1">
      <alignment horizontal="right" vertical="top"/>
    </xf>
    <xf numFmtId="0" fontId="2" fillId="2" borderId="31" xfId="1076" applyFont="1"/>
    <xf numFmtId="0" fontId="2" fillId="2" borderId="31" xfId="1077" applyFont="1"/>
    <xf numFmtId="0" fontId="2" fillId="2" borderId="31" xfId="1078" applyFont="1"/>
    <xf numFmtId="0" fontId="2" fillId="2" borderId="31" xfId="1079" applyFont="1"/>
    <xf numFmtId="0" fontId="2" fillId="2" borderId="31" xfId="1081" applyFont="1" applyAlignment="1">
      <alignment horizontal="center"/>
    </xf>
    <xf numFmtId="0" fontId="2" fillId="2" borderId="31" xfId="1082" applyFont="1" applyAlignment="1">
      <alignment horizontal="center"/>
    </xf>
    <xf numFmtId="0" fontId="2" fillId="2" borderId="31" xfId="1083" applyFont="1" applyAlignment="1">
      <alignment horizontal="center"/>
    </xf>
    <xf numFmtId="0" fontId="2" fillId="2" borderId="31" xfId="1084" applyFont="1" applyAlignment="1">
      <alignment horizontal="center"/>
    </xf>
    <xf numFmtId="0" fontId="3" fillId="2" borderId="31" xfId="1098" applyFont="1" applyAlignment="1">
      <alignment vertical="top"/>
    </xf>
    <xf numFmtId="0" fontId="3" fillId="2" borderId="31" xfId="1099" applyFont="1" applyAlignment="1">
      <alignment vertical="top"/>
    </xf>
    <xf numFmtId="0" fontId="3" fillId="2" borderId="31" xfId="1100" applyFont="1" applyAlignment="1">
      <alignment vertical="top"/>
    </xf>
    <xf numFmtId="0" fontId="1" fillId="2" borderId="31" xfId="1055" applyFont="1" applyAlignment="1">
      <alignment vertical="center"/>
    </xf>
    <xf numFmtId="0" fontId="1" fillId="2" borderId="31" xfId="1056" applyFont="1" applyAlignment="1">
      <alignment vertical="center"/>
    </xf>
    <xf numFmtId="0" fontId="2" fillId="0" borderId="31" xfId="1080" applyFont="1" applyFill="1"/>
    <xf numFmtId="0" fontId="2" fillId="0" borderId="31" xfId="1085" applyFont="1" applyFill="1" applyAlignment="1">
      <alignment horizontal="left" vertical="top"/>
    </xf>
    <xf numFmtId="0" fontId="2" fillId="0" borderId="31" xfId="1071" applyFont="1" applyFill="1" applyAlignment="1">
      <alignment horizontal="left" vertical="top"/>
    </xf>
    <xf numFmtId="0" fontId="2" fillId="0" borderId="31" xfId="1074" applyFont="1" applyFill="1" applyAlignment="1">
      <alignment horizontal="left" vertical="top"/>
    </xf>
    <xf numFmtId="0" fontId="3" fillId="0" borderId="31" xfId="1098" applyFont="1" applyFill="1" applyAlignment="1">
      <alignment vertical="top"/>
    </xf>
    <xf numFmtId="0" fontId="1" fillId="0" borderId="31" xfId="1054" applyFont="1" applyFill="1" applyAlignment="1">
      <alignment vertical="center"/>
    </xf>
    <xf numFmtId="0" fontId="2" fillId="0" borderId="31" xfId="1076" applyFont="1" applyFill="1"/>
    <xf numFmtId="0" fontId="2" fillId="3" borderId="51" xfId="1113" applyFont="1" applyFill="1" applyBorder="1" applyAlignment="1">
      <alignment horizontal="left" vertical="top" wrapText="1"/>
    </xf>
    <xf numFmtId="0" fontId="2" fillId="3" borderId="51" xfId="1118" applyFont="1" applyFill="1" applyBorder="1" applyAlignment="1">
      <alignment horizontal="left" vertical="top" wrapText="1"/>
    </xf>
    <xf numFmtId="0" fontId="2" fillId="3" borderId="51" xfId="1123" applyFont="1" applyFill="1" applyBorder="1" applyAlignment="1">
      <alignment horizontal="left" vertical="top" wrapText="1"/>
    </xf>
    <xf numFmtId="49" fontId="9" fillId="2" borderId="31" xfId="1179" applyNumberFormat="1" applyAlignment="1">
      <alignment horizontal="center" vertical="center" wrapText="1"/>
    </xf>
    <xf numFmtId="49" fontId="9" fillId="2" borderId="31" xfId="1179" applyNumberFormat="1" applyAlignment="1">
      <alignment horizontal="center" vertical="center"/>
    </xf>
    <xf numFmtId="0" fontId="9" fillId="2" borderId="31" xfId="1179" applyAlignment="1">
      <alignment horizontal="center" vertical="center"/>
    </xf>
    <xf numFmtId="0" fontId="34" fillId="0" borderId="0" xfId="0" applyFont="1"/>
    <xf numFmtId="0" fontId="2" fillId="0" borderId="31" xfId="686" applyFont="1" applyFill="1"/>
    <xf numFmtId="0" fontId="2" fillId="2" borderId="31" xfId="1108" applyFont="1" applyAlignment="1">
      <alignment wrapText="1"/>
    </xf>
    <xf numFmtId="0" fontId="2" fillId="0" borderId="51" xfId="1105" applyFont="1" applyFill="1" applyBorder="1" applyAlignment="1">
      <alignment horizontal="center" vertical="center" wrapText="1"/>
    </xf>
    <xf numFmtId="0" fontId="2" fillId="0" borderId="51" xfId="1106" applyFont="1" applyFill="1" applyBorder="1" applyAlignment="1">
      <alignment horizontal="center" vertical="center" wrapText="1"/>
    </xf>
    <xf numFmtId="166" fontId="3" fillId="0" borderId="51" xfId="1114" applyNumberFormat="1" applyFont="1" applyFill="1" applyBorder="1" applyAlignment="1">
      <alignment horizontal="right"/>
    </xf>
    <xf numFmtId="166" fontId="3" fillId="0" borderId="51" xfId="1116" applyNumberFormat="1" applyFont="1" applyFill="1" applyBorder="1" applyAlignment="1">
      <alignment horizontal="right"/>
    </xf>
    <xf numFmtId="166" fontId="3" fillId="0" borderId="51" xfId="1119" applyNumberFormat="1" applyFont="1" applyFill="1" applyBorder="1" applyAlignment="1">
      <alignment horizontal="right"/>
    </xf>
    <xf numFmtId="166" fontId="3" fillId="0" borderId="51" xfId="1121" applyNumberFormat="1" applyFont="1" applyFill="1" applyBorder="1" applyAlignment="1">
      <alignment horizontal="right"/>
    </xf>
    <xf numFmtId="166" fontId="3" fillId="0" borderId="51" xfId="1124" applyNumberFormat="1" applyFont="1" applyFill="1" applyBorder="1" applyAlignment="1">
      <alignment horizontal="right"/>
    </xf>
    <xf numFmtId="166" fontId="3" fillId="0" borderId="51" xfId="1126" applyNumberFormat="1" applyFont="1" applyFill="1" applyBorder="1" applyAlignment="1">
      <alignment horizontal="right"/>
    </xf>
    <xf numFmtId="164" fontId="3" fillId="0" borderId="31" xfId="620" applyNumberFormat="1" applyFont="1" applyBorder="1" applyAlignment="1">
      <alignment horizontal="right" vertical="top"/>
    </xf>
    <xf numFmtId="0" fontId="2" fillId="2" borderId="51" xfId="559" applyFont="1" applyFill="1" applyBorder="1" applyAlignment="1">
      <alignment horizontal="center" vertical="center" wrapText="1"/>
    </xf>
    <xf numFmtId="0" fontId="2" fillId="2" borderId="51" xfId="560" applyFont="1" applyFill="1" applyBorder="1" applyAlignment="1">
      <alignment horizontal="center" vertical="center" wrapText="1"/>
    </xf>
    <xf numFmtId="0" fontId="2" fillId="2" borderId="51" xfId="561" applyFont="1" applyFill="1" applyBorder="1" applyAlignment="1">
      <alignment horizontal="center" vertical="center" wrapText="1"/>
    </xf>
    <xf numFmtId="166" fontId="3" fillId="2" borderId="124" xfId="565" applyNumberFormat="1" applyFont="1" applyFill="1" applyBorder="1" applyAlignment="1">
      <alignment horizontal="center" vertical="center"/>
    </xf>
    <xf numFmtId="166" fontId="3" fillId="2" borderId="128" xfId="566" applyNumberFormat="1" applyFont="1" applyFill="1" applyBorder="1" applyAlignment="1">
      <alignment horizontal="center" vertical="center"/>
    </xf>
    <xf numFmtId="166" fontId="3" fillId="2" borderId="129" xfId="567" applyNumberFormat="1" applyFont="1" applyFill="1" applyBorder="1" applyAlignment="1">
      <alignment horizontal="center" vertical="center"/>
    </xf>
    <xf numFmtId="166" fontId="3" fillId="2" borderId="10" xfId="568" applyNumberFormat="1" applyFont="1" applyFill="1" applyBorder="1" applyAlignment="1">
      <alignment horizontal="center" vertical="center"/>
    </xf>
    <xf numFmtId="166" fontId="3" fillId="2" borderId="11" xfId="569" applyNumberFormat="1" applyFont="1" applyFill="1" applyBorder="1" applyAlignment="1">
      <alignment horizontal="center" vertical="center"/>
    </xf>
    <xf numFmtId="166" fontId="3" fillId="2" borderId="12" xfId="570" applyNumberFormat="1" applyFont="1" applyFill="1" applyBorder="1" applyAlignment="1">
      <alignment horizontal="center" vertical="center"/>
    </xf>
    <xf numFmtId="166" fontId="3" fillId="2" borderId="13" xfId="571" applyNumberFormat="1" applyFont="1" applyFill="1" applyBorder="1" applyAlignment="1">
      <alignment horizontal="center" vertical="center"/>
    </xf>
    <xf numFmtId="166" fontId="3" fillId="2" borderId="14" xfId="572" applyNumberFormat="1" applyFont="1" applyFill="1" applyBorder="1" applyAlignment="1">
      <alignment horizontal="center" vertical="center"/>
    </xf>
    <xf numFmtId="166" fontId="3" fillId="2" borderId="15" xfId="573" applyNumberFormat="1" applyFont="1" applyFill="1" applyBorder="1" applyAlignment="1">
      <alignment horizontal="center" vertical="center"/>
    </xf>
    <xf numFmtId="166" fontId="8" fillId="0" borderId="128" xfId="566" applyNumberFormat="1" applyFont="1" applyBorder="1" applyAlignment="1">
      <alignment horizontal="center" vertical="center"/>
    </xf>
    <xf numFmtId="166" fontId="8" fillId="0" borderId="11" xfId="569" applyNumberFormat="1" applyFont="1" applyBorder="1" applyAlignment="1">
      <alignment horizontal="center" vertical="center"/>
    </xf>
    <xf numFmtId="166" fontId="8" fillId="2" borderId="11" xfId="569" applyNumberFormat="1" applyFont="1" applyFill="1" applyBorder="1" applyAlignment="1">
      <alignment horizontal="center" vertical="center"/>
    </xf>
    <xf numFmtId="166" fontId="3" fillId="0" borderId="11" xfId="569" applyNumberFormat="1" applyFont="1" applyBorder="1" applyAlignment="1">
      <alignment horizontal="center" vertical="center"/>
    </xf>
    <xf numFmtId="166" fontId="3" fillId="0" borderId="10" xfId="568" applyNumberFormat="1" applyFont="1" applyBorder="1" applyAlignment="1">
      <alignment horizontal="center" vertical="center"/>
    </xf>
    <xf numFmtId="166" fontId="8" fillId="0" borderId="14" xfId="572" applyNumberFormat="1" applyFont="1" applyBorder="1" applyAlignment="1">
      <alignment horizontal="center" vertical="center"/>
    </xf>
    <xf numFmtId="166" fontId="3" fillId="2" borderId="124" xfId="565" applyNumberFormat="1" applyFont="1" applyFill="1" applyBorder="1" applyAlignment="1">
      <alignment horizontal="right" vertical="center"/>
    </xf>
    <xf numFmtId="166" fontId="3" fillId="2" borderId="128" xfId="566" applyNumberFormat="1" applyFont="1" applyFill="1" applyBorder="1" applyAlignment="1">
      <alignment horizontal="right" vertical="center"/>
    </xf>
    <xf numFmtId="166" fontId="8" fillId="0" borderId="128" xfId="566" applyNumberFormat="1" applyFont="1" applyBorder="1" applyAlignment="1">
      <alignment horizontal="right" vertical="center"/>
    </xf>
    <xf numFmtId="166" fontId="3" fillId="2" borderId="129" xfId="567" applyNumberFormat="1" applyFont="1" applyFill="1" applyBorder="1" applyAlignment="1">
      <alignment horizontal="right" vertical="center"/>
    </xf>
    <xf numFmtId="166" fontId="3" fillId="2" borderId="10" xfId="568" applyNumberFormat="1" applyFont="1" applyFill="1" applyBorder="1" applyAlignment="1">
      <alignment horizontal="right" vertical="center"/>
    </xf>
    <xf numFmtId="166" fontId="3" fillId="2" borderId="11" xfId="569" applyNumberFormat="1" applyFont="1" applyFill="1" applyBorder="1" applyAlignment="1">
      <alignment horizontal="right" vertical="center"/>
    </xf>
    <xf numFmtId="166" fontId="8" fillId="0" borderId="11" xfId="569" applyNumberFormat="1" applyFont="1" applyBorder="1" applyAlignment="1">
      <alignment horizontal="right" vertical="center"/>
    </xf>
    <xf numFmtId="166" fontId="3" fillId="2" borderId="12" xfId="570" applyNumberFormat="1" applyFont="1" applyFill="1" applyBorder="1" applyAlignment="1">
      <alignment horizontal="right" vertical="center"/>
    </xf>
    <xf numFmtId="166" fontId="8" fillId="2" borderId="11" xfId="569" applyNumberFormat="1" applyFont="1" applyFill="1" applyBorder="1" applyAlignment="1">
      <alignment horizontal="right" vertical="center"/>
    </xf>
    <xf numFmtId="166" fontId="3" fillId="0" borderId="10" xfId="568" applyNumberFormat="1" applyFont="1" applyBorder="1" applyAlignment="1">
      <alignment horizontal="right" vertical="center"/>
    </xf>
    <xf numFmtId="166" fontId="3" fillId="0" borderId="11" xfId="569" applyNumberFormat="1" applyFont="1" applyBorder="1" applyAlignment="1">
      <alignment horizontal="right" vertical="center"/>
    </xf>
    <xf numFmtId="166" fontId="3" fillId="2" borderId="13" xfId="571" applyNumberFormat="1" applyFont="1" applyFill="1" applyBorder="1" applyAlignment="1">
      <alignment horizontal="right" vertical="center"/>
    </xf>
    <xf numFmtId="166" fontId="3" fillId="2" borderId="14" xfId="572" applyNumberFormat="1" applyFont="1" applyFill="1" applyBorder="1" applyAlignment="1">
      <alignment horizontal="right" vertical="center"/>
    </xf>
    <xf numFmtId="166" fontId="8" fillId="0" borderId="14" xfId="572" applyNumberFormat="1" applyFont="1" applyBorder="1" applyAlignment="1">
      <alignment horizontal="right" vertical="center"/>
    </xf>
    <xf numFmtId="166" fontId="3" fillId="2" borderId="15" xfId="573" applyNumberFormat="1" applyFont="1" applyFill="1" applyBorder="1" applyAlignment="1">
      <alignment horizontal="right" vertical="center"/>
    </xf>
    <xf numFmtId="166" fontId="3" fillId="2" borderId="7" xfId="565" applyNumberFormat="1" applyFont="1" applyFill="1" applyBorder="1" applyAlignment="1">
      <alignment horizontal="center" vertical="center"/>
    </xf>
    <xf numFmtId="166" fontId="3" fillId="2" borderId="8" xfId="566" applyNumberFormat="1" applyFont="1" applyFill="1" applyBorder="1" applyAlignment="1">
      <alignment horizontal="center" vertical="center"/>
    </xf>
    <xf numFmtId="166" fontId="3" fillId="2" borderId="9" xfId="567" applyNumberFormat="1" applyFont="1" applyFill="1" applyBorder="1" applyAlignment="1">
      <alignment horizontal="center" vertical="center"/>
    </xf>
    <xf numFmtId="0" fontId="12" fillId="0" borderId="31" xfId="550" applyFont="1" applyBorder="1" applyAlignment="1">
      <alignment vertical="center" wrapText="1"/>
    </xf>
    <xf numFmtId="165" fontId="21" fillId="2" borderId="51" xfId="866" applyNumberFormat="1" applyFont="1" applyBorder="1" applyAlignment="1">
      <alignment horizontal="right" vertical="center"/>
    </xf>
    <xf numFmtId="165" fontId="21" fillId="2" borderId="51" xfId="868" applyNumberFormat="1" applyFont="1" applyBorder="1" applyAlignment="1">
      <alignment horizontal="right" vertical="center"/>
    </xf>
    <xf numFmtId="165" fontId="21" fillId="2" borderId="51" xfId="872" applyNumberFormat="1" applyFont="1" applyBorder="1" applyAlignment="1">
      <alignment horizontal="right" vertical="center"/>
    </xf>
    <xf numFmtId="165" fontId="21" fillId="2" borderId="51" xfId="874" applyNumberFormat="1" applyFont="1" applyBorder="1" applyAlignment="1">
      <alignment horizontal="right" vertical="center"/>
    </xf>
    <xf numFmtId="165" fontId="21" fillId="2" borderId="51" xfId="879" applyNumberFormat="1" applyFont="1" applyBorder="1" applyAlignment="1">
      <alignment horizontal="right" vertical="center"/>
    </xf>
    <xf numFmtId="165" fontId="21" fillId="2" borderId="51" xfId="881" applyNumberFormat="1" applyFont="1" applyBorder="1" applyAlignment="1">
      <alignment horizontal="right" vertic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horizontal="left" vertical="top"/>
    </xf>
    <xf numFmtId="0" fontId="18" fillId="0" borderId="31" xfId="0" applyFont="1" applyBorder="1" applyAlignment="1">
      <alignment vertical="center" wrapText="1"/>
    </xf>
    <xf numFmtId="0" fontId="4" fillId="2" borderId="31" xfId="1362"/>
    <xf numFmtId="2" fontId="4" fillId="2" borderId="31" xfId="1362" applyNumberFormat="1"/>
    <xf numFmtId="0" fontId="4" fillId="2" borderId="31" xfId="1362" applyAlignment="1">
      <alignment horizontal="right"/>
    </xf>
    <xf numFmtId="0" fontId="2" fillId="3" borderId="27" xfId="1366" applyFont="1" applyFill="1" applyBorder="1" applyAlignment="1">
      <alignment horizontal="left" vertical="top" wrapText="1"/>
    </xf>
    <xf numFmtId="0" fontId="2" fillId="3" borderId="26" xfId="1369" applyFont="1" applyFill="1" applyBorder="1" applyAlignment="1">
      <alignment horizontal="left" vertical="top" wrapText="1"/>
    </xf>
    <xf numFmtId="20" fontId="2" fillId="3" borderId="26" xfId="1369" applyNumberFormat="1" applyFont="1" applyFill="1" applyBorder="1" applyAlignment="1">
      <alignment horizontal="left" vertical="top" wrapText="1"/>
    </xf>
    <xf numFmtId="20" fontId="4" fillId="4" borderId="31" xfId="1362" applyNumberFormat="1" applyFill="1" applyAlignment="1">
      <alignment horizontal="center" vertical="center"/>
    </xf>
    <xf numFmtId="0" fontId="2" fillId="3" borderId="25" xfId="1371" applyFont="1" applyFill="1" applyBorder="1" applyAlignment="1">
      <alignment horizontal="left" vertical="top" wrapText="1"/>
    </xf>
    <xf numFmtId="0" fontId="4" fillId="2" borderId="31" xfId="1362" applyAlignment="1">
      <alignment horizontal="center"/>
    </xf>
    <xf numFmtId="0" fontId="8" fillId="0" borderId="31" xfId="1374" applyFont="1" applyFill="1" applyAlignment="1">
      <alignment horizontal="center"/>
    </xf>
    <xf numFmtId="0" fontId="27" fillId="0" borderId="31" xfId="1362" applyFont="1" applyFill="1"/>
    <xf numFmtId="0" fontId="8" fillId="0" borderId="21" xfId="1372" applyFont="1" applyFill="1" applyBorder="1" applyAlignment="1">
      <alignment horizontal="center" wrapText="1"/>
    </xf>
    <xf numFmtId="0" fontId="8" fillId="0" borderId="18" xfId="1372" applyFont="1" applyFill="1" applyBorder="1" applyAlignment="1">
      <alignment horizontal="center" wrapText="1"/>
    </xf>
    <xf numFmtId="166" fontId="8" fillId="0" borderId="7" xfId="1370" applyNumberFormat="1" applyFont="1" applyFill="1" applyBorder="1" applyAlignment="1">
      <alignment horizontal="right" vertical="top"/>
    </xf>
    <xf numFmtId="166" fontId="8" fillId="0" borderId="8" xfId="1363" applyNumberFormat="1" applyFont="1" applyFill="1" applyBorder="1" applyAlignment="1">
      <alignment horizontal="right" vertical="top"/>
    </xf>
    <xf numFmtId="166" fontId="8" fillId="0" borderId="7" xfId="1363" applyNumberFormat="1" applyFont="1" applyFill="1" applyBorder="1" applyAlignment="1">
      <alignment horizontal="right" vertical="top"/>
    </xf>
    <xf numFmtId="168" fontId="27" fillId="0" borderId="31" xfId="1362" applyNumberFormat="1" applyFont="1" applyFill="1"/>
    <xf numFmtId="166" fontId="8" fillId="0" borderId="10" xfId="1368" applyNumberFormat="1" applyFont="1" applyFill="1" applyBorder="1" applyAlignment="1">
      <alignment horizontal="right" vertical="top"/>
    </xf>
    <xf numFmtId="166" fontId="8" fillId="0" borderId="11" xfId="1367" applyNumberFormat="1" applyFont="1" applyFill="1" applyBorder="1" applyAlignment="1">
      <alignment horizontal="right" vertical="top"/>
    </xf>
    <xf numFmtId="166" fontId="8" fillId="0" borderId="18" xfId="1363" applyNumberFormat="1" applyFont="1" applyFill="1" applyBorder="1" applyAlignment="1">
      <alignment horizontal="right" vertical="top"/>
    </xf>
    <xf numFmtId="166" fontId="8" fillId="0" borderId="31" xfId="1363" applyNumberFormat="1" applyFont="1" applyFill="1" applyAlignment="1">
      <alignment horizontal="right" vertical="top"/>
    </xf>
    <xf numFmtId="166" fontId="8" fillId="0" borderId="13" xfId="1365" applyNumberFormat="1" applyFont="1" applyFill="1" applyBorder="1" applyAlignment="1">
      <alignment horizontal="right" vertical="top"/>
    </xf>
    <xf numFmtId="166" fontId="8" fillId="0" borderId="14" xfId="1364" applyNumberFormat="1" applyFont="1" applyFill="1" applyBorder="1" applyAlignment="1">
      <alignment horizontal="right" vertical="top"/>
    </xf>
    <xf numFmtId="0" fontId="2" fillId="2" borderId="32" xfId="758" applyFont="1" applyBorder="1" applyAlignment="1">
      <alignment horizontal="left" wrapText="1"/>
    </xf>
    <xf numFmtId="0" fontId="2" fillId="2" borderId="21" xfId="737" applyFont="1" applyBorder="1" applyAlignment="1">
      <alignment horizontal="center" wrapText="1"/>
    </xf>
    <xf numFmtId="0" fontId="2" fillId="2" borderId="24" xfId="739" applyFont="1" applyBorder="1" applyAlignment="1">
      <alignment horizontal="center" wrapText="1"/>
    </xf>
    <xf numFmtId="0" fontId="4" fillId="4" borderId="31" xfId="1362" applyFill="1"/>
    <xf numFmtId="20" fontId="4" fillId="2" borderId="31" xfId="1362" applyNumberFormat="1"/>
    <xf numFmtId="20" fontId="4" fillId="4" borderId="31" xfId="1362" applyNumberFormat="1" applyFill="1"/>
    <xf numFmtId="167" fontId="27" fillId="0" borderId="31" xfId="0" applyNumberFormat="1" applyFont="1" applyBorder="1" applyAlignment="1">
      <alignment horizontal="center" vertical="center"/>
    </xf>
    <xf numFmtId="167" fontId="0" fillId="0" borderId="31" xfId="0" applyNumberFormat="1" applyBorder="1" applyAlignment="1">
      <alignment horizontal="center" vertical="center"/>
    </xf>
    <xf numFmtId="0" fontId="27" fillId="0" borderId="31" xfId="0" applyFont="1" applyBorder="1"/>
    <xf numFmtId="164" fontId="8" fillId="2" borderId="31" xfId="1191" applyNumberFormat="1" applyFont="1" applyAlignment="1">
      <alignment horizontal="center" vertical="center" wrapText="1"/>
    </xf>
    <xf numFmtId="2" fontId="27" fillId="0" borderId="31" xfId="0" applyNumberFormat="1" applyFont="1" applyBorder="1" applyAlignment="1">
      <alignment horizontal="center" vertical="center"/>
    </xf>
    <xf numFmtId="0" fontId="36" fillId="2" borderId="31" xfId="1180" applyFont="1" applyAlignment="1">
      <alignment vertical="top" wrapText="1"/>
    </xf>
    <xf numFmtId="0" fontId="21" fillId="2" borderId="51" xfId="861" applyFont="1" applyBorder="1" applyAlignment="1">
      <alignment horizontal="center" vertical="center" wrapText="1"/>
    </xf>
    <xf numFmtId="0" fontId="21" fillId="2" borderId="51" xfId="862" applyFont="1" applyBorder="1" applyAlignment="1">
      <alignment horizontal="center" vertical="center" wrapText="1"/>
    </xf>
    <xf numFmtId="0" fontId="14" fillId="2" borderId="73" xfId="1339" applyFont="1" applyFill="1" applyBorder="1" applyAlignment="1">
      <alignment horizontal="center" wrapText="1"/>
    </xf>
    <xf numFmtId="0" fontId="14" fillId="2" borderId="67" xfId="1340" applyFont="1" applyFill="1" applyBorder="1" applyAlignment="1">
      <alignment horizontal="center" wrapText="1"/>
    </xf>
    <xf numFmtId="0" fontId="14" fillId="2" borderId="74" xfId="1341" applyFont="1" applyFill="1" applyBorder="1" applyAlignment="1">
      <alignment horizontal="center" wrapText="1"/>
    </xf>
    <xf numFmtId="0" fontId="14" fillId="2" borderId="77" xfId="1343" applyFont="1" applyFill="1" applyBorder="1" applyAlignment="1">
      <alignment horizontal="center" wrapText="1"/>
    </xf>
    <xf numFmtId="0" fontId="14" fillId="2" borderId="72" xfId="1344" applyFont="1" applyFill="1" applyBorder="1" applyAlignment="1">
      <alignment horizontal="center" wrapText="1"/>
    </xf>
    <xf numFmtId="0" fontId="14" fillId="2" borderId="78" xfId="1345" applyFont="1" applyFill="1" applyBorder="1" applyAlignment="1">
      <alignment horizontal="center" wrapText="1"/>
    </xf>
    <xf numFmtId="0" fontId="14" fillId="4" borderId="31" xfId="1345" applyFont="1" applyFill="1" applyBorder="1" applyAlignment="1">
      <alignment horizontal="center" wrapText="1"/>
    </xf>
    <xf numFmtId="0" fontId="14" fillId="2" borderId="52" xfId="1346" applyFont="1" applyFill="1" applyBorder="1" applyAlignment="1">
      <alignment horizontal="left" vertical="top" wrapText="1"/>
    </xf>
    <xf numFmtId="166" fontId="14" fillId="2" borderId="53" xfId="1347" applyNumberFormat="1" applyFont="1" applyFill="1" applyBorder="1" applyAlignment="1">
      <alignment horizontal="right" vertical="center"/>
    </xf>
    <xf numFmtId="166" fontId="14" fillId="2" borderId="54" xfId="1348" applyNumberFormat="1" applyFont="1" applyFill="1" applyBorder="1" applyAlignment="1">
      <alignment horizontal="right" vertical="center"/>
    </xf>
    <xf numFmtId="171" fontId="14" fillId="2" borderId="55" xfId="1349" applyNumberFormat="1" applyFont="1" applyFill="1" applyBorder="1" applyAlignment="1">
      <alignment horizontal="right" vertical="center"/>
    </xf>
    <xf numFmtId="167" fontId="4" fillId="4" borderId="31" xfId="1362" applyNumberFormat="1" applyFill="1"/>
    <xf numFmtId="0" fontId="14" fillId="2" borderId="113" xfId="1350" applyFont="1" applyFill="1" applyBorder="1" applyAlignment="1">
      <alignment horizontal="left" vertical="top" wrapText="1"/>
    </xf>
    <xf numFmtId="166" fontId="14" fillId="2" borderId="79" xfId="1351" applyNumberFormat="1" applyFont="1" applyFill="1" applyBorder="1" applyAlignment="1">
      <alignment horizontal="right" vertical="center"/>
    </xf>
    <xf numFmtId="166" fontId="14" fillId="2" borderId="56" xfId="1352" applyNumberFormat="1" applyFont="1" applyFill="1" applyBorder="1" applyAlignment="1">
      <alignment horizontal="right" vertical="center"/>
    </xf>
    <xf numFmtId="171" fontId="14" fillId="2" borderId="80" xfId="1353" applyNumberFormat="1" applyFont="1" applyFill="1" applyBorder="1" applyAlignment="1">
      <alignment horizontal="right" vertical="center"/>
    </xf>
    <xf numFmtId="166" fontId="14" fillId="2" borderId="80" xfId="1354" applyNumberFormat="1" applyFont="1" applyFill="1" applyBorder="1" applyAlignment="1">
      <alignment horizontal="right" vertical="center"/>
    </xf>
    <xf numFmtId="0" fontId="14" fillId="2" borderId="112" xfId="1355" applyFont="1" applyFill="1" applyBorder="1" applyAlignment="1">
      <alignment horizontal="left" vertical="top" wrapText="1"/>
    </xf>
    <xf numFmtId="166" fontId="14" fillId="2" borderId="97" xfId="1356" applyNumberFormat="1" applyFont="1" applyFill="1" applyBorder="1" applyAlignment="1">
      <alignment horizontal="right" vertical="center"/>
    </xf>
    <xf numFmtId="166" fontId="14" fillId="2" borderId="98" xfId="1357" applyNumberFormat="1" applyFont="1" applyFill="1" applyBorder="1" applyAlignment="1">
      <alignment horizontal="right" vertical="center"/>
    </xf>
    <xf numFmtId="171" fontId="14" fillId="2" borderId="99" xfId="1358" applyNumberFormat="1" applyFont="1" applyFill="1" applyBorder="1" applyAlignment="1">
      <alignment horizontal="right" vertical="center"/>
    </xf>
    <xf numFmtId="171" fontId="14" fillId="2" borderId="54" xfId="1359" applyNumberFormat="1" applyFont="1" applyFill="1" applyBorder="1" applyAlignment="1">
      <alignment horizontal="right" vertical="center"/>
    </xf>
    <xf numFmtId="166" fontId="14" fillId="2" borderId="55" xfId="1360" applyNumberFormat="1" applyFont="1" applyFill="1" applyBorder="1" applyAlignment="1">
      <alignment horizontal="right" vertical="center"/>
    </xf>
    <xf numFmtId="171" fontId="14" fillId="2" borderId="56" xfId="1361" applyNumberFormat="1" applyFont="1" applyFill="1" applyBorder="1" applyAlignment="1">
      <alignment horizontal="right" vertical="center"/>
    </xf>
    <xf numFmtId="0" fontId="3" fillId="2" borderId="31" xfId="67" applyFont="1" applyFill="1" applyBorder="1" applyAlignment="1">
      <alignment horizontal="left" vertical="top" wrapText="1"/>
    </xf>
    <xf numFmtId="0" fontId="3" fillId="2" borderId="31" xfId="65" applyFont="1" applyFill="1" applyBorder="1" applyAlignment="1">
      <alignment horizontal="left" vertical="top" wrapText="1"/>
    </xf>
    <xf numFmtId="0" fontId="20" fillId="0" borderId="120" xfId="0" quotePrefix="1" applyNumberFormat="1" applyFont="1" applyBorder="1" applyAlignment="1">
      <alignment horizontal="center" vertical="center" wrapText="1"/>
    </xf>
    <xf numFmtId="0" fontId="17" fillId="0" borderId="31" xfId="0" applyFont="1" applyBorder="1" applyAlignment="1">
      <alignment vertical="center" wrapText="1" readingOrder="1"/>
    </xf>
    <xf numFmtId="0" fontId="23" fillId="0" borderId="31" xfId="0" applyFont="1" applyBorder="1" applyAlignment="1">
      <alignment horizontal="left" vertical="top" wrapText="1"/>
    </xf>
    <xf numFmtId="0" fontId="1" fillId="2" borderId="31" xfId="1101" applyFont="1" applyAlignment="1">
      <alignment vertical="top" wrapText="1"/>
    </xf>
    <xf numFmtId="0" fontId="12" fillId="2" borderId="31" xfId="1101" applyFont="1" applyAlignment="1">
      <alignment horizontal="center" vertical="top" wrapText="1"/>
    </xf>
    <xf numFmtId="0" fontId="22" fillId="0" borderId="31" xfId="0" applyFont="1" applyBorder="1" applyAlignment="1">
      <alignment vertical="center" wrapText="1"/>
    </xf>
    <xf numFmtId="0" fontId="23" fillId="0" borderId="31" xfId="0" applyFont="1" applyBorder="1" applyAlignment="1">
      <alignment vertical="center" wrapText="1"/>
    </xf>
    <xf numFmtId="0" fontId="0" fillId="0" borderId="0" xfId="0" applyAlignment="1">
      <alignment horizontal="left"/>
    </xf>
    <xf numFmtId="0" fontId="8" fillId="2" borderId="31" xfId="1187" applyFont="1" applyAlignment="1">
      <alignment vertical="top" wrapText="1"/>
    </xf>
    <xf numFmtId="0" fontId="8" fillId="2" borderId="31" xfId="1190" applyFont="1" applyAlignment="1">
      <alignment vertical="top" wrapText="1"/>
    </xf>
    <xf numFmtId="0" fontId="3" fillId="2" borderId="31" xfId="631" applyFont="1" applyFill="1" applyBorder="1" applyAlignment="1">
      <alignment horizontal="left" vertical="top" wrapText="1"/>
    </xf>
    <xf numFmtId="0" fontId="3" fillId="2" borderId="31" xfId="629" applyFont="1" applyFill="1" applyBorder="1" applyAlignment="1">
      <alignment horizontal="left" vertical="top" wrapText="1"/>
    </xf>
    <xf numFmtId="0" fontId="3" fillId="2" borderId="31" xfId="630" applyFont="1" applyFill="1" applyBorder="1" applyAlignment="1">
      <alignment horizontal="left" vertical="top" wrapText="1"/>
    </xf>
    <xf numFmtId="0" fontId="24" fillId="0" borderId="31" xfId="0" applyFont="1" applyBorder="1" applyAlignment="1">
      <alignment horizontal="left" vertical="center" wrapText="1"/>
    </xf>
    <xf numFmtId="0" fontId="3" fillId="2" borderId="31" xfId="322" applyFont="1" applyFill="1" applyBorder="1" applyAlignment="1">
      <alignment horizontal="left" vertical="top" wrapText="1"/>
    </xf>
    <xf numFmtId="0" fontId="3" fillId="2" borderId="31" xfId="1401" applyFont="1" applyFill="1" applyBorder="1" applyAlignment="1">
      <alignment vertical="top" wrapText="1"/>
    </xf>
    <xf numFmtId="164" fontId="6" fillId="4" borderId="7" xfId="1384" applyNumberFormat="1" applyFont="1" applyFill="1" applyBorder="1" applyAlignment="1">
      <alignment horizontal="right" vertical="top"/>
    </xf>
    <xf numFmtId="164" fontId="3" fillId="4" borderId="7" xfId="1384" applyNumberFormat="1" applyFont="1" applyFill="1" applyBorder="1" applyAlignment="1">
      <alignment horizontal="right" vertical="top"/>
    </xf>
    <xf numFmtId="164" fontId="3" fillId="2" borderId="7" xfId="1384" applyNumberFormat="1" applyFont="1" applyFill="1" applyBorder="1" applyAlignment="1">
      <alignment horizontal="right" vertical="top"/>
    </xf>
    <xf numFmtId="164" fontId="6" fillId="2" borderId="7" xfId="1384" applyNumberFormat="1" applyFont="1" applyFill="1" applyBorder="1" applyAlignment="1">
      <alignment horizontal="right" vertical="top"/>
    </xf>
    <xf numFmtId="164" fontId="6" fillId="5" borderId="7" xfId="1384" applyNumberFormat="1" applyFont="1" applyFill="1" applyBorder="1" applyAlignment="1">
      <alignment horizontal="right" vertical="top"/>
    </xf>
    <xf numFmtId="164" fontId="3" fillId="5" borderId="7" xfId="1384" applyNumberFormat="1" applyFont="1" applyFill="1" applyBorder="1" applyAlignment="1">
      <alignment horizontal="right" vertical="top"/>
    </xf>
    <xf numFmtId="0" fontId="5" fillId="2" borderId="31" xfId="1362" applyFont="1"/>
    <xf numFmtId="164" fontId="6" fillId="4" borderId="7" xfId="1402" applyNumberFormat="1" applyFont="1" applyFill="1" applyBorder="1" applyAlignment="1">
      <alignment horizontal="right" vertical="top"/>
    </xf>
    <xf numFmtId="164" fontId="8" fillId="4" borderId="7" xfId="1402" applyNumberFormat="1" applyFont="1" applyFill="1" applyBorder="1" applyAlignment="1">
      <alignment horizontal="right" vertical="top"/>
    </xf>
    <xf numFmtId="164" fontId="6" fillId="5" borderId="7" xfId="1402" applyNumberFormat="1" applyFont="1" applyFill="1" applyBorder="1" applyAlignment="1">
      <alignment horizontal="right" vertical="top"/>
    </xf>
    <xf numFmtId="164" fontId="8" fillId="5" borderId="7" xfId="1402" applyNumberFormat="1" applyFont="1" applyFill="1" applyBorder="1" applyAlignment="1">
      <alignment horizontal="right" vertical="top"/>
    </xf>
    <xf numFmtId="0" fontId="4" fillId="5" borderId="31" xfId="1362" applyFill="1"/>
    <xf numFmtId="0" fontId="2" fillId="2" borderId="19" xfId="1403" applyFont="1" applyFill="1" applyBorder="1" applyAlignment="1">
      <alignment wrapText="1"/>
    </xf>
    <xf numFmtId="0" fontId="2" fillId="2" borderId="21" xfId="1382" applyFont="1" applyFill="1" applyBorder="1" applyAlignment="1">
      <alignment wrapText="1"/>
    </xf>
    <xf numFmtId="0" fontId="2" fillId="2" borderId="22" xfId="1383" applyFont="1" applyFill="1" applyBorder="1" applyAlignment="1">
      <alignment wrapText="1"/>
    </xf>
    <xf numFmtId="0" fontId="2" fillId="2" borderId="24" xfId="1405" applyFont="1" applyFill="1" applyBorder="1" applyAlignment="1">
      <alignment wrapText="1"/>
    </xf>
    <xf numFmtId="0" fontId="2" fillId="2" borderId="31" xfId="1381" applyFont="1" applyFill="1" applyBorder="1" applyAlignment="1">
      <alignment wrapText="1"/>
    </xf>
    <xf numFmtId="0" fontId="5" fillId="2" borderId="31" xfId="1362" applyFont="1" applyAlignment="1">
      <alignment horizontal="right"/>
    </xf>
    <xf numFmtId="0" fontId="2" fillId="2" borderId="24" xfId="1383" applyFont="1" applyFill="1" applyBorder="1" applyAlignment="1">
      <alignment horizontal="center" wrapText="1"/>
    </xf>
    <xf numFmtId="0" fontId="2" fillId="2" borderId="20" xfId="1381" applyFont="1" applyFill="1" applyBorder="1" applyAlignment="1">
      <alignment horizontal="center" wrapText="1"/>
    </xf>
    <xf numFmtId="0" fontId="2" fillId="2" borderId="32" xfId="1382" applyFont="1" applyFill="1" applyBorder="1" applyAlignment="1">
      <alignment horizontal="center" wrapText="1"/>
    </xf>
    <xf numFmtId="0" fontId="2" fillId="2" borderId="31" xfId="1380" applyFont="1" applyFill="1" applyBorder="1" applyAlignment="1">
      <alignment horizontal="center" wrapText="1"/>
    </xf>
    <xf numFmtId="0" fontId="3" fillId="2" borderId="3" xfId="448" applyFont="1" applyFill="1" applyBorder="1" applyAlignment="1">
      <alignment vertical="top" wrapText="1"/>
    </xf>
    <xf numFmtId="0" fontId="3" fillId="2" borderId="16" xfId="446" applyFont="1" applyFill="1" applyBorder="1" applyAlignment="1">
      <alignment vertical="top" wrapText="1"/>
    </xf>
    <xf numFmtId="0" fontId="21" fillId="0" borderId="121" xfId="420" applyFont="1" applyBorder="1" applyAlignment="1">
      <alignment horizontal="center" wrapText="1"/>
    </xf>
    <xf numFmtId="164" fontId="3" fillId="2" borderId="31" xfId="398" applyNumberFormat="1" applyFont="1" applyFill="1" applyBorder="1" applyAlignment="1">
      <alignment horizontal="right" vertical="top"/>
    </xf>
    <xf numFmtId="164" fontId="3" fillId="2" borderId="31" xfId="399" applyNumberFormat="1" applyFont="1" applyFill="1" applyBorder="1" applyAlignment="1">
      <alignment horizontal="right" vertical="top"/>
    </xf>
    <xf numFmtId="164" fontId="3" fillId="2" borderId="31" xfId="400" applyNumberFormat="1" applyFont="1" applyFill="1" applyBorder="1" applyAlignment="1">
      <alignment horizontal="right" vertical="top"/>
    </xf>
    <xf numFmtId="164" fontId="3" fillId="2" borderId="31" xfId="401" applyNumberFormat="1" applyFont="1" applyFill="1" applyBorder="1" applyAlignment="1">
      <alignment horizontal="right" vertical="top"/>
    </xf>
    <xf numFmtId="0" fontId="20" fillId="2" borderId="121" xfId="337" applyFont="1" applyFill="1" applyBorder="1" applyAlignment="1">
      <alignment horizontal="center" wrapText="1"/>
    </xf>
    <xf numFmtId="0" fontId="23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0" fontId="20" fillId="0" borderId="132" xfId="0" applyFont="1" applyBorder="1" applyAlignment="1">
      <alignment horizontal="right" vertical="center" wrapText="1"/>
    </xf>
    <xf numFmtId="0" fontId="20" fillId="0" borderId="135" xfId="0" applyFont="1" applyBorder="1" applyAlignment="1">
      <alignment horizontal="right" vertical="center" wrapText="1"/>
    </xf>
    <xf numFmtId="0" fontId="20" fillId="0" borderId="105" xfId="0" applyFont="1" applyBorder="1" applyAlignment="1">
      <alignment vertical="center" wrapText="1"/>
    </xf>
    <xf numFmtId="0" fontId="20" fillId="0" borderId="95" xfId="0" applyFont="1" applyBorder="1" applyAlignment="1">
      <alignment vertical="center" wrapText="1"/>
    </xf>
    <xf numFmtId="0" fontId="20" fillId="0" borderId="107" xfId="0" applyFont="1" applyBorder="1" applyAlignment="1">
      <alignment horizontal="left" vertical="center" wrapText="1"/>
    </xf>
    <xf numFmtId="0" fontId="20" fillId="0" borderId="108" xfId="0" applyFont="1" applyBorder="1" applyAlignment="1">
      <alignment horizontal="left" vertical="center" wrapText="1"/>
    </xf>
    <xf numFmtId="0" fontId="44" fillId="0" borderId="106" xfId="0" applyFont="1" applyBorder="1" applyAlignment="1">
      <alignment vertical="center" wrapText="1"/>
    </xf>
    <xf numFmtId="0" fontId="44" fillId="0" borderId="58" xfId="0" applyFont="1" applyBorder="1" applyAlignment="1">
      <alignment horizontal="right" vertical="center" wrapText="1"/>
    </xf>
    <xf numFmtId="0" fontId="44" fillId="0" borderId="59" xfId="0" applyFont="1" applyBorder="1" applyAlignment="1">
      <alignment horizontal="right" vertical="center" wrapText="1"/>
    </xf>
    <xf numFmtId="0" fontId="20" fillId="0" borderId="106" xfId="0" applyFont="1" applyBorder="1" applyAlignment="1">
      <alignment vertical="center" wrapText="1"/>
    </xf>
    <xf numFmtId="0" fontId="20" fillId="0" borderId="94" xfId="0" applyFont="1" applyBorder="1" applyAlignment="1">
      <alignment vertical="center" wrapText="1"/>
    </xf>
    <xf numFmtId="0" fontId="44" fillId="0" borderId="65" xfId="0" applyFont="1" applyBorder="1" applyAlignment="1">
      <alignment horizontal="right" vertical="center" wrapText="1"/>
    </xf>
    <xf numFmtId="0" fontId="39" fillId="2" borderId="31" xfId="24" applyFont="1" applyFill="1" applyBorder="1" applyAlignment="1">
      <alignment horizontal="left" vertical="center" wrapText="1"/>
    </xf>
    <xf numFmtId="0" fontId="28" fillId="2" borderId="31" xfId="22" applyFont="1" applyFill="1" applyBorder="1" applyAlignment="1">
      <alignment horizontal="left" vertical="center" wrapText="1"/>
    </xf>
    <xf numFmtId="0" fontId="28" fillId="2" borderId="31" xfId="23" applyFont="1" applyFill="1" applyBorder="1" applyAlignment="1">
      <alignment horizontal="left" vertical="center" wrapText="1"/>
    </xf>
    <xf numFmtId="0" fontId="2" fillId="3" borderId="25" xfId="759" applyFont="1" applyFill="1" applyBorder="1" applyAlignment="1">
      <alignment horizontal="left" vertical="center" wrapText="1"/>
    </xf>
    <xf numFmtId="164" fontId="3" fillId="2" borderId="7" xfId="760" applyNumberFormat="1" applyFont="1" applyBorder="1" applyAlignment="1">
      <alignment horizontal="right" vertical="center"/>
    </xf>
    <xf numFmtId="164" fontId="3" fillId="2" borderId="28" xfId="761" applyNumberFormat="1" applyFont="1" applyBorder="1" applyAlignment="1">
      <alignment horizontal="right" vertical="center"/>
    </xf>
    <xf numFmtId="0" fontId="2" fillId="3" borderId="26" xfId="730" applyFont="1" applyFill="1" applyBorder="1" applyAlignment="1">
      <alignment horizontal="left" vertical="center" wrapText="1"/>
    </xf>
    <xf numFmtId="164" fontId="3" fillId="2" borderId="10" xfId="762" applyNumberFormat="1" applyFont="1" applyBorder="1" applyAlignment="1">
      <alignment horizontal="right" vertical="center"/>
    </xf>
    <xf numFmtId="164" fontId="3" fillId="2" borderId="29" xfId="763" applyNumberFormat="1" applyFont="1" applyBorder="1" applyAlignment="1">
      <alignment horizontal="right" vertical="center"/>
    </xf>
    <xf numFmtId="0" fontId="2" fillId="3" borderId="27" xfId="733" applyFont="1" applyFill="1" applyBorder="1" applyAlignment="1">
      <alignment horizontal="left" vertical="center" wrapText="1"/>
    </xf>
    <xf numFmtId="164" fontId="3" fillId="2" borderId="13" xfId="764" applyNumberFormat="1" applyFont="1" applyBorder="1" applyAlignment="1">
      <alignment horizontal="right" vertical="center"/>
    </xf>
    <xf numFmtId="164" fontId="3" fillId="2" borderId="30" xfId="765" applyNumberFormat="1" applyFont="1" applyBorder="1" applyAlignment="1">
      <alignment horizontal="right" vertical="center"/>
    </xf>
    <xf numFmtId="2" fontId="21" fillId="0" borderId="33" xfId="0" applyNumberFormat="1" applyFont="1" applyBorder="1" applyAlignment="1">
      <alignment vertical="center"/>
    </xf>
    <xf numFmtId="2" fontId="21" fillId="0" borderId="31" xfId="0" applyNumberFormat="1" applyFont="1" applyBorder="1" applyAlignment="1">
      <alignment vertical="center"/>
    </xf>
    <xf numFmtId="2" fontId="21" fillId="0" borderId="32" xfId="0" applyNumberFormat="1" applyFont="1" applyBorder="1" applyAlignment="1">
      <alignment vertical="center"/>
    </xf>
    <xf numFmtId="0" fontId="7" fillId="0" borderId="31" xfId="0" applyFont="1" applyBorder="1" applyAlignment="1">
      <alignment horizontal="left" vertical="center" wrapText="1"/>
    </xf>
    <xf numFmtId="0" fontId="21" fillId="0" borderId="31" xfId="0" applyFont="1" applyBorder="1" applyAlignment="1">
      <alignment horizontal="left" vertical="center" wrapText="1"/>
    </xf>
    <xf numFmtId="0" fontId="46" fillId="0" borderId="140" xfId="0" applyFont="1" applyBorder="1" applyAlignment="1">
      <alignment horizontal="left" wrapText="1" indent="1"/>
    </xf>
    <xf numFmtId="0" fontId="21" fillId="0" borderId="140" xfId="0" applyFont="1" applyBorder="1" applyAlignment="1">
      <alignment horizontal="left" vertical="center" wrapText="1"/>
    </xf>
    <xf numFmtId="0" fontId="21" fillId="0" borderId="31" xfId="0" applyFont="1" applyBorder="1" applyAlignment="1">
      <alignment horizontal="left" vertical="center" wrapText="1" indent="1"/>
    </xf>
    <xf numFmtId="20" fontId="21" fillId="0" borderId="31" xfId="0" quotePrefix="1" applyNumberFormat="1" applyFont="1" applyBorder="1" applyAlignment="1">
      <alignment horizontal="right" vertical="center" wrapText="1"/>
    </xf>
    <xf numFmtId="20" fontId="21" fillId="0" borderId="31" xfId="0" applyNumberFormat="1" applyFont="1" applyBorder="1" applyAlignment="1">
      <alignment horizontal="right" vertical="center" wrapText="1"/>
    </xf>
    <xf numFmtId="0" fontId="46" fillId="0" borderId="31" xfId="0" applyFont="1" applyBorder="1" applyAlignment="1">
      <alignment horizontal="left" wrapText="1" indent="1"/>
    </xf>
    <xf numFmtId="0" fontId="21" fillId="0" borderId="104" xfId="0" applyFont="1" applyBorder="1" applyAlignment="1">
      <alignment horizontal="left" vertical="center" wrapText="1" indent="1"/>
    </xf>
    <xf numFmtId="0" fontId="21" fillId="0" borderId="0" xfId="0" applyFont="1"/>
    <xf numFmtId="0" fontId="21" fillId="0" borderId="141" xfId="0" applyFont="1" applyBorder="1" applyAlignment="1">
      <alignment horizontal="right" vertical="center" wrapText="1"/>
    </xf>
    <xf numFmtId="0" fontId="21" fillId="0" borderId="142" xfId="0" applyFont="1" applyBorder="1" applyAlignment="1">
      <alignment horizontal="right" vertical="center" wrapText="1"/>
    </xf>
    <xf numFmtId="0" fontId="21" fillId="0" borderId="31" xfId="0" applyFont="1" applyBorder="1" applyAlignment="1">
      <alignment horizontal="right" vertical="center" wrapText="1"/>
    </xf>
    <xf numFmtId="20" fontId="21" fillId="0" borderId="104" xfId="0" applyNumberFormat="1" applyFont="1" applyBorder="1" applyAlignment="1">
      <alignment horizontal="right" vertical="center" wrapText="1"/>
    </xf>
    <xf numFmtId="0" fontId="47" fillId="0" borderId="0" xfId="0" applyFont="1" applyAlignment="1">
      <alignment vertical="center"/>
    </xf>
    <xf numFmtId="0" fontId="21" fillId="0" borderId="95" xfId="0" applyFont="1" applyBorder="1" applyAlignment="1">
      <alignment horizontal="center" vertical="center" wrapText="1"/>
    </xf>
    <xf numFmtId="0" fontId="21" fillId="0" borderId="144" xfId="0" applyFont="1" applyBorder="1" applyAlignment="1">
      <alignment horizontal="center" vertical="center"/>
    </xf>
    <xf numFmtId="0" fontId="21" fillId="0" borderId="144" xfId="0" applyFont="1" applyBorder="1" applyAlignment="1">
      <alignment horizontal="right" vertical="center"/>
    </xf>
    <xf numFmtId="0" fontId="21" fillId="0" borderId="145" xfId="0" applyFont="1" applyBorder="1" applyAlignment="1">
      <alignment horizontal="center" vertical="center"/>
    </xf>
    <xf numFmtId="0" fontId="21" fillId="0" borderId="105" xfId="0" applyFont="1" applyBorder="1" applyAlignment="1">
      <alignment horizontal="right" vertical="center"/>
    </xf>
    <xf numFmtId="0" fontId="46" fillId="0" borderId="138" xfId="0" applyFont="1" applyBorder="1" applyAlignment="1">
      <alignment vertical="center"/>
    </xf>
    <xf numFmtId="0" fontId="21" fillId="0" borderId="146" xfId="0" applyFont="1" applyBorder="1" applyAlignment="1">
      <alignment horizontal="center" vertical="center"/>
    </xf>
    <xf numFmtId="0" fontId="21" fillId="0" borderId="146" xfId="0" applyFont="1" applyBorder="1" applyAlignment="1">
      <alignment horizontal="right" vertical="center"/>
    </xf>
    <xf numFmtId="0" fontId="21" fillId="0" borderId="147" xfId="0" applyFont="1" applyBorder="1" applyAlignment="1">
      <alignment horizontal="center" vertical="center"/>
    </xf>
    <xf numFmtId="0" fontId="21" fillId="0" borderId="148" xfId="0" applyFont="1" applyBorder="1" applyAlignment="1">
      <alignment horizontal="right" vertical="center"/>
    </xf>
    <xf numFmtId="0" fontId="21" fillId="0" borderId="150" xfId="0" applyFont="1" applyBorder="1" applyAlignment="1">
      <alignment horizontal="center" vertical="center"/>
    </xf>
    <xf numFmtId="0" fontId="21" fillId="0" borderId="151" xfId="0" applyFont="1" applyBorder="1" applyAlignment="1">
      <alignment horizontal="right" vertical="center"/>
    </xf>
    <xf numFmtId="0" fontId="21" fillId="0" borderId="153" xfId="0" applyFont="1" applyBorder="1" applyAlignment="1">
      <alignment horizontal="center" vertical="center"/>
    </xf>
    <xf numFmtId="0" fontId="21" fillId="0" borderId="154" xfId="0" applyFont="1" applyBorder="1" applyAlignment="1">
      <alignment horizontal="right" vertical="center"/>
    </xf>
    <xf numFmtId="0" fontId="21" fillId="0" borderId="105" xfId="0" applyFont="1" applyBorder="1" applyAlignment="1">
      <alignment horizontal="center" vertical="center"/>
    </xf>
    <xf numFmtId="0" fontId="49" fillId="0" borderId="0" xfId="0" applyFont="1"/>
    <xf numFmtId="0" fontId="50" fillId="2" borderId="31" xfId="1362" applyFont="1"/>
    <xf numFmtId="0" fontId="51" fillId="2" borderId="31" xfId="1406" applyAlignment="1">
      <alignment vertical="center" wrapText="1"/>
    </xf>
    <xf numFmtId="0" fontId="20" fillId="0" borderId="155" xfId="0" applyFont="1" applyBorder="1" applyAlignment="1">
      <alignment vertical="center" wrapText="1"/>
    </xf>
    <xf numFmtId="0" fontId="28" fillId="0" borderId="156" xfId="0" applyFont="1" applyBorder="1" applyAlignment="1">
      <alignment horizontal="right" vertical="center" wrapText="1"/>
    </xf>
    <xf numFmtId="0" fontId="28" fillId="0" borderId="158" xfId="0" applyFont="1" applyBorder="1" applyAlignment="1">
      <alignment horizontal="right" vertical="center" wrapText="1"/>
    </xf>
    <xf numFmtId="0" fontId="20" fillId="0" borderId="159" xfId="0" applyFont="1" applyBorder="1" applyAlignment="1">
      <alignment vertical="center" wrapText="1"/>
    </xf>
    <xf numFmtId="0" fontId="28" fillId="0" borderId="160" xfId="0" applyFont="1" applyBorder="1" applyAlignment="1">
      <alignment horizontal="right" vertical="center" wrapText="1"/>
    </xf>
    <xf numFmtId="0" fontId="28" fillId="0" borderId="162" xfId="0" applyFont="1" applyBorder="1" applyAlignment="1">
      <alignment horizontal="right" vertical="center" wrapText="1"/>
    </xf>
    <xf numFmtId="0" fontId="20" fillId="0" borderId="163" xfId="0" applyFont="1" applyBorder="1" applyAlignment="1">
      <alignment vertical="center" wrapText="1"/>
    </xf>
    <xf numFmtId="0" fontId="20" fillId="0" borderId="164" xfId="0" applyFont="1" applyBorder="1" applyAlignment="1">
      <alignment horizontal="right" vertical="center" wrapText="1"/>
    </xf>
    <xf numFmtId="0" fontId="20" fillId="0" borderId="166" xfId="0" applyFont="1" applyBorder="1" applyAlignment="1">
      <alignment horizontal="right" vertical="center" wrapText="1"/>
    </xf>
    <xf numFmtId="0" fontId="20" fillId="0" borderId="167" xfId="0" applyFont="1" applyBorder="1" applyAlignment="1">
      <alignment vertical="center" wrapText="1"/>
    </xf>
    <xf numFmtId="0" fontId="20" fillId="0" borderId="156" xfId="0" applyFont="1" applyBorder="1" applyAlignment="1">
      <alignment horizontal="right" vertical="center" wrapText="1"/>
    </xf>
    <xf numFmtId="0" fontId="20" fillId="0" borderId="158" xfId="0" applyFont="1" applyBorder="1" applyAlignment="1">
      <alignment horizontal="right" vertical="center" wrapText="1"/>
    </xf>
    <xf numFmtId="0" fontId="20" fillId="0" borderId="168" xfId="0" applyFont="1" applyBorder="1" applyAlignment="1">
      <alignment vertical="center" wrapText="1"/>
    </xf>
    <xf numFmtId="0" fontId="20" fillId="0" borderId="160" xfId="0" applyFont="1" applyBorder="1" applyAlignment="1">
      <alignment horizontal="right" vertical="center" wrapText="1"/>
    </xf>
    <xf numFmtId="0" fontId="20" fillId="0" borderId="162" xfId="0" applyFont="1" applyBorder="1" applyAlignment="1">
      <alignment horizontal="right" vertical="center" wrapText="1"/>
    </xf>
    <xf numFmtId="0" fontId="20" fillId="0" borderId="143" xfId="0" applyFont="1" applyBorder="1" applyAlignment="1">
      <alignment vertical="center" wrapText="1"/>
    </xf>
    <xf numFmtId="0" fontId="8" fillId="2" borderId="135" xfId="134" applyFont="1" applyFill="1" applyBorder="1" applyAlignment="1">
      <alignment horizontal="center" wrapText="1"/>
    </xf>
    <xf numFmtId="0" fontId="8" fillId="2" borderId="132" xfId="137" applyFont="1" applyFill="1" applyBorder="1" applyAlignment="1">
      <alignment horizontal="center" wrapText="1"/>
    </xf>
    <xf numFmtId="0" fontId="0" fillId="0" borderId="155" xfId="0" applyBorder="1"/>
    <xf numFmtId="164" fontId="3" fillId="2" borderId="156" xfId="141" applyNumberFormat="1" applyFont="1" applyFill="1" applyBorder="1" applyAlignment="1">
      <alignment horizontal="right" vertical="top"/>
    </xf>
    <xf numFmtId="164" fontId="3" fillId="2" borderId="158" xfId="141" applyNumberFormat="1" applyFont="1" applyFill="1" applyBorder="1" applyAlignment="1">
      <alignment horizontal="right" vertical="top"/>
    </xf>
    <xf numFmtId="0" fontId="0" fillId="0" borderId="159" xfId="0" applyBorder="1"/>
    <xf numFmtId="164" fontId="3" fillId="0" borderId="160" xfId="141" applyNumberFormat="1" applyFont="1" applyBorder="1" applyAlignment="1">
      <alignment horizontal="right" vertical="top"/>
    </xf>
    <xf numFmtId="164" fontId="3" fillId="0" borderId="162" xfId="141" applyNumberFormat="1" applyFont="1" applyBorder="1" applyAlignment="1">
      <alignment horizontal="right" vertical="top"/>
    </xf>
    <xf numFmtId="164" fontId="8" fillId="2" borderId="160" xfId="141" applyNumberFormat="1" applyFont="1" applyFill="1" applyBorder="1" applyAlignment="1">
      <alignment horizontal="right" vertical="top"/>
    </xf>
    <xf numFmtId="164" fontId="8" fillId="2" borderId="162" xfId="141" applyNumberFormat="1" applyFont="1" applyFill="1" applyBorder="1" applyAlignment="1">
      <alignment horizontal="right" vertical="top"/>
    </xf>
    <xf numFmtId="164" fontId="3" fillId="2" borderId="160" xfId="141" applyNumberFormat="1" applyFont="1" applyFill="1" applyBorder="1" applyAlignment="1">
      <alignment horizontal="right" vertical="top"/>
    </xf>
    <xf numFmtId="164" fontId="3" fillId="2" borderId="162" xfId="141" applyNumberFormat="1" applyFont="1" applyFill="1" applyBorder="1" applyAlignment="1">
      <alignment horizontal="right" vertical="top"/>
    </xf>
    <xf numFmtId="164" fontId="3" fillId="2" borderId="164" xfId="141" applyNumberFormat="1" applyFont="1" applyFill="1" applyBorder="1" applyAlignment="1">
      <alignment horizontal="right" vertical="top"/>
    </xf>
    <xf numFmtId="164" fontId="3" fillId="2" borderId="166" xfId="141" applyNumberFormat="1" applyFont="1" applyFill="1" applyBorder="1" applyAlignment="1">
      <alignment horizontal="right" vertical="top"/>
    </xf>
    <xf numFmtId="0" fontId="9" fillId="2" borderId="135" xfId="217" applyFont="1" applyFill="1" applyBorder="1" applyAlignment="1">
      <alignment horizontal="center" wrapText="1"/>
    </xf>
    <xf numFmtId="0" fontId="9" fillId="2" borderId="132" xfId="220" applyFont="1" applyFill="1" applyBorder="1" applyAlignment="1">
      <alignment horizontal="center" wrapText="1"/>
    </xf>
    <xf numFmtId="0" fontId="9" fillId="0" borderId="155" xfId="221" applyFont="1" applyBorder="1" applyAlignment="1">
      <alignment horizontal="left" vertical="center" wrapText="1"/>
    </xf>
    <xf numFmtId="167" fontId="9" fillId="10" borderId="156" xfId="0" applyNumberFormat="1" applyFont="1" applyFill="1" applyBorder="1" applyAlignment="1">
      <alignment vertical="center"/>
    </xf>
    <xf numFmtId="167" fontId="9" fillId="10" borderId="158" xfId="0" applyNumberFormat="1" applyFont="1" applyFill="1" applyBorder="1" applyAlignment="1">
      <alignment vertical="center"/>
    </xf>
    <xf numFmtId="0" fontId="9" fillId="0" borderId="159" xfId="222" applyFont="1" applyBorder="1" applyAlignment="1">
      <alignment horizontal="left" vertical="center" wrapText="1"/>
    </xf>
    <xf numFmtId="167" fontId="9" fillId="10" borderId="160" xfId="0" applyNumberFormat="1" applyFont="1" applyFill="1" applyBorder="1" applyAlignment="1">
      <alignment vertical="center"/>
    </xf>
    <xf numFmtId="167" fontId="9" fillId="10" borderId="162" xfId="0" applyNumberFormat="1" applyFont="1" applyFill="1" applyBorder="1" applyAlignment="1">
      <alignment vertical="center"/>
    </xf>
    <xf numFmtId="0" fontId="9" fillId="0" borderId="163" xfId="223" applyFont="1" applyBorder="1" applyAlignment="1">
      <alignment horizontal="left" vertical="center" wrapText="1"/>
    </xf>
    <xf numFmtId="167" fontId="9" fillId="10" borderId="164" xfId="0" applyNumberFormat="1" applyFont="1" applyFill="1" applyBorder="1" applyAlignment="1">
      <alignment vertical="center"/>
    </xf>
    <xf numFmtId="167" fontId="9" fillId="10" borderId="166" xfId="0" applyNumberFormat="1" applyFont="1" applyFill="1" applyBorder="1" applyAlignment="1">
      <alignment vertical="center"/>
    </xf>
    <xf numFmtId="164" fontId="21" fillId="2" borderId="160" xfId="307" applyNumberFormat="1" applyFont="1" applyFill="1" applyBorder="1" applyAlignment="1">
      <alignment horizontal="right" vertical="top"/>
    </xf>
    <xf numFmtId="164" fontId="21" fillId="2" borderId="162" xfId="307" applyNumberFormat="1" applyFont="1" applyFill="1" applyBorder="1" applyAlignment="1">
      <alignment horizontal="right" vertical="top"/>
    </xf>
    <xf numFmtId="0" fontId="27" fillId="0" borderId="163" xfId="0" applyFont="1" applyBorder="1"/>
    <xf numFmtId="164" fontId="21" fillId="2" borderId="164" xfId="307" applyNumberFormat="1" applyFont="1" applyFill="1" applyBorder="1" applyAlignment="1">
      <alignment horizontal="right" vertical="top"/>
    </xf>
    <xf numFmtId="164" fontId="21" fillId="2" borderId="166" xfId="307" applyNumberFormat="1" applyFont="1" applyFill="1" applyBorder="1" applyAlignment="1">
      <alignment horizontal="right" vertical="top"/>
    </xf>
    <xf numFmtId="0" fontId="0" fillId="0" borderId="137" xfId="0" applyBorder="1"/>
    <xf numFmtId="164" fontId="21" fillId="2" borderId="170" xfId="307" applyNumberFormat="1" applyFont="1" applyFill="1" applyBorder="1" applyAlignment="1">
      <alignment horizontal="right" vertical="top"/>
    </xf>
    <xf numFmtId="164" fontId="21" fillId="2" borderId="171" xfId="307" applyNumberFormat="1" applyFont="1" applyFill="1" applyBorder="1" applyAlignment="1">
      <alignment horizontal="right" vertical="top"/>
    </xf>
    <xf numFmtId="0" fontId="21" fillId="2" borderId="65" xfId="300" applyFont="1" applyFill="1" applyBorder="1" applyAlignment="1">
      <alignment horizontal="center" wrapText="1"/>
    </xf>
    <xf numFmtId="0" fontId="21" fillId="2" borderId="59" xfId="303" applyFont="1" applyFill="1" applyBorder="1" applyAlignment="1">
      <alignment horizontal="center" wrapText="1"/>
    </xf>
    <xf numFmtId="0" fontId="20" fillId="2" borderId="132" xfId="337" applyFont="1" applyFill="1" applyBorder="1" applyAlignment="1">
      <alignment horizontal="center" wrapText="1"/>
    </xf>
    <xf numFmtId="167" fontId="20" fillId="2" borderId="157" xfId="367" applyNumberFormat="1" applyFont="1" applyFill="1" applyBorder="1" applyAlignment="1">
      <alignment horizontal="right" vertical="center"/>
    </xf>
    <xf numFmtId="167" fontId="20" fillId="2" borderId="158" xfId="367" applyNumberFormat="1" applyFont="1" applyFill="1" applyBorder="1" applyAlignment="1">
      <alignment horizontal="right" vertical="center"/>
    </xf>
    <xf numFmtId="167" fontId="20" fillId="2" borderId="161" xfId="369" applyNumberFormat="1" applyFont="1" applyFill="1" applyBorder="1" applyAlignment="1">
      <alignment horizontal="right" vertical="center"/>
    </xf>
    <xf numFmtId="167" fontId="20" fillId="2" borderId="162" xfId="369" applyNumberFormat="1" applyFont="1" applyFill="1" applyBorder="1" applyAlignment="1">
      <alignment horizontal="right" vertical="center"/>
    </xf>
    <xf numFmtId="167" fontId="20" fillId="2" borderId="165" xfId="369" applyNumberFormat="1" applyFont="1" applyFill="1" applyBorder="1" applyAlignment="1">
      <alignment horizontal="right" vertical="center"/>
    </xf>
    <xf numFmtId="167" fontId="20" fillId="2" borderId="166" xfId="369" applyNumberFormat="1" applyFont="1" applyFill="1" applyBorder="1" applyAlignment="1">
      <alignment horizontal="right" vertical="center"/>
    </xf>
    <xf numFmtId="0" fontId="21" fillId="0" borderId="132" xfId="420" applyFont="1" applyBorder="1" applyAlignment="1">
      <alignment horizontal="center" wrapText="1"/>
    </xf>
    <xf numFmtId="0" fontId="21" fillId="0" borderId="135" xfId="419" applyFont="1" applyBorder="1" applyAlignment="1">
      <alignment horizontal="center" wrapText="1"/>
    </xf>
    <xf numFmtId="0" fontId="21" fillId="0" borderId="155" xfId="423" applyFont="1" applyBorder="1" applyAlignment="1">
      <alignment horizontal="left" vertical="center" wrapText="1"/>
    </xf>
    <xf numFmtId="167" fontId="21" fillId="0" borderId="156" xfId="449" applyNumberFormat="1" applyFont="1" applyBorder="1" applyAlignment="1">
      <alignment horizontal="right" vertical="top"/>
    </xf>
    <xf numFmtId="167" fontId="21" fillId="0" borderId="157" xfId="450" applyNumberFormat="1" applyFont="1" applyBorder="1" applyAlignment="1">
      <alignment horizontal="right" vertical="top"/>
    </xf>
    <xf numFmtId="167" fontId="21" fillId="0" borderId="158" xfId="450" applyNumberFormat="1" applyFont="1" applyBorder="1" applyAlignment="1">
      <alignment horizontal="right" vertical="top"/>
    </xf>
    <xf numFmtId="0" fontId="21" fillId="0" borderId="159" xfId="425" applyFont="1" applyBorder="1" applyAlignment="1">
      <alignment horizontal="left" vertical="center" wrapText="1"/>
    </xf>
    <xf numFmtId="167" fontId="21" fillId="0" borderId="160" xfId="451" applyNumberFormat="1" applyFont="1" applyBorder="1" applyAlignment="1">
      <alignment horizontal="right" vertical="top"/>
    </xf>
    <xf numFmtId="167" fontId="21" fillId="0" borderId="161" xfId="452" applyNumberFormat="1" applyFont="1" applyBorder="1" applyAlignment="1">
      <alignment horizontal="right" vertical="top"/>
    </xf>
    <xf numFmtId="167" fontId="21" fillId="0" borderId="162" xfId="452" applyNumberFormat="1" applyFont="1" applyBorder="1" applyAlignment="1">
      <alignment horizontal="right" vertical="top"/>
    </xf>
    <xf numFmtId="0" fontId="21" fillId="0" borderId="163" xfId="425" applyFont="1" applyBorder="1" applyAlignment="1">
      <alignment horizontal="left" vertical="center" wrapText="1"/>
    </xf>
    <xf numFmtId="167" fontId="21" fillId="0" borderId="164" xfId="451" applyNumberFormat="1" applyFont="1" applyBorder="1" applyAlignment="1">
      <alignment horizontal="right" vertical="top"/>
    </xf>
    <xf numFmtId="167" fontId="21" fillId="0" borderId="165" xfId="452" applyNumberFormat="1" applyFont="1" applyBorder="1" applyAlignment="1">
      <alignment horizontal="right" vertical="top"/>
    </xf>
    <xf numFmtId="167" fontId="21" fillId="0" borderId="166" xfId="452" applyNumberFormat="1" applyFont="1" applyBorder="1" applyAlignment="1">
      <alignment horizontal="right" vertical="top"/>
    </xf>
    <xf numFmtId="0" fontId="8" fillId="2" borderId="182" xfId="1362" applyFont="1" applyBorder="1" applyAlignment="1">
      <alignment horizontal="left" vertical="top"/>
    </xf>
    <xf numFmtId="0" fontId="21" fillId="0" borderId="135" xfId="1362" applyFont="1" applyFill="1" applyBorder="1" applyAlignment="1">
      <alignment horizontal="center" vertical="center"/>
    </xf>
    <xf numFmtId="0" fontId="21" fillId="0" borderId="132" xfId="1362" applyFont="1" applyFill="1" applyBorder="1" applyAlignment="1">
      <alignment horizontal="center" vertical="center"/>
    </xf>
    <xf numFmtId="0" fontId="21" fillId="0" borderId="169" xfId="1362" applyFont="1" applyFill="1" applyBorder="1" applyAlignment="1">
      <alignment horizontal="center" vertical="center"/>
    </xf>
    <xf numFmtId="0" fontId="21" fillId="0" borderId="175" xfId="1362" applyFont="1" applyFill="1" applyBorder="1" applyAlignment="1">
      <alignment horizontal="center" vertical="center"/>
    </xf>
    <xf numFmtId="0" fontId="21" fillId="0" borderId="155" xfId="1362" applyFont="1" applyFill="1" applyBorder="1" applyAlignment="1">
      <alignment horizontal="left" vertical="top"/>
    </xf>
    <xf numFmtId="2" fontId="21" fillId="0" borderId="156" xfId="1362" applyNumberFormat="1" applyFont="1" applyFill="1" applyBorder="1" applyAlignment="1">
      <alignment horizontal="center" vertical="center"/>
    </xf>
    <xf numFmtId="2" fontId="21" fillId="0" borderId="158" xfId="1362" applyNumberFormat="1" applyFont="1" applyFill="1" applyBorder="1" applyAlignment="1">
      <alignment horizontal="center" vertical="center"/>
    </xf>
    <xf numFmtId="2" fontId="21" fillId="0" borderId="177" xfId="1362" applyNumberFormat="1" applyFont="1" applyFill="1" applyBorder="1" applyAlignment="1">
      <alignment horizontal="center" vertical="center"/>
    </xf>
    <xf numFmtId="2" fontId="21" fillId="0" borderId="176" xfId="1362" applyNumberFormat="1" applyFont="1" applyFill="1" applyBorder="1" applyAlignment="1">
      <alignment horizontal="center" vertical="center"/>
    </xf>
    <xf numFmtId="0" fontId="21" fillId="0" borderId="159" xfId="1362" applyFont="1" applyFill="1" applyBorder="1" applyAlignment="1">
      <alignment horizontal="left" vertical="top"/>
    </xf>
    <xf numFmtId="2" fontId="21" fillId="0" borderId="160" xfId="1362" applyNumberFormat="1" applyFont="1" applyFill="1" applyBorder="1" applyAlignment="1">
      <alignment horizontal="center" vertical="center"/>
    </xf>
    <xf numFmtId="2" fontId="21" fillId="0" borderId="162" xfId="1362" applyNumberFormat="1" applyFont="1" applyFill="1" applyBorder="1" applyAlignment="1">
      <alignment horizontal="center" vertical="center"/>
    </xf>
    <xf numFmtId="2" fontId="21" fillId="0" borderId="179" xfId="1362" applyNumberFormat="1" applyFont="1" applyFill="1" applyBorder="1" applyAlignment="1">
      <alignment horizontal="center" vertical="center"/>
    </xf>
    <xf numFmtId="2" fontId="21" fillId="0" borderId="178" xfId="1362" applyNumberFormat="1" applyFont="1" applyFill="1" applyBorder="1" applyAlignment="1">
      <alignment horizontal="center" vertical="center"/>
    </xf>
    <xf numFmtId="164" fontId="8" fillId="0" borderId="156" xfId="620" applyNumberFormat="1" applyFont="1" applyBorder="1" applyAlignment="1">
      <alignment horizontal="right" vertical="center"/>
    </xf>
    <xf numFmtId="164" fontId="8" fillId="0" borderId="158" xfId="620" applyNumberFormat="1" applyFont="1" applyBorder="1" applyAlignment="1">
      <alignment horizontal="right" vertical="center"/>
    </xf>
    <xf numFmtId="164" fontId="8" fillId="0" borderId="164" xfId="620" applyNumberFormat="1" applyFont="1" applyBorder="1" applyAlignment="1">
      <alignment horizontal="right" vertical="center"/>
    </xf>
    <xf numFmtId="164" fontId="8" fillId="0" borderId="166" xfId="620" applyNumberFormat="1" applyFont="1" applyBorder="1" applyAlignment="1">
      <alignment horizontal="right" vertical="center"/>
    </xf>
    <xf numFmtId="0" fontId="8" fillId="0" borderId="31" xfId="1186" applyFont="1" applyFill="1" applyBorder="1" applyAlignment="1">
      <alignment horizontal="center" vertical="center" wrapText="1"/>
    </xf>
    <xf numFmtId="167" fontId="27" fillId="0" borderId="31" xfId="0" applyNumberFormat="1" applyFont="1" applyFill="1" applyBorder="1" applyAlignment="1">
      <alignment horizontal="center" vertical="center"/>
    </xf>
    <xf numFmtId="0" fontId="8" fillId="0" borderId="197" xfId="1186" applyFont="1" applyFill="1" applyBorder="1" applyAlignment="1">
      <alignment horizontal="center" vertical="center" wrapText="1"/>
    </xf>
    <xf numFmtId="0" fontId="8" fillId="0" borderId="196" xfId="1186" applyFont="1" applyFill="1" applyBorder="1" applyAlignment="1">
      <alignment horizontal="center" vertical="center" wrapText="1"/>
    </xf>
    <xf numFmtId="0" fontId="8" fillId="0" borderId="155" xfId="1190" applyFont="1" applyFill="1" applyBorder="1" applyAlignment="1">
      <alignment horizontal="left" vertical="center" wrapText="1"/>
    </xf>
    <xf numFmtId="167" fontId="27" fillId="0" borderId="156" xfId="0" applyNumberFormat="1" applyFont="1" applyFill="1" applyBorder="1" applyAlignment="1">
      <alignment horizontal="center" vertical="center"/>
    </xf>
    <xf numFmtId="167" fontId="27" fillId="0" borderId="158" xfId="0" applyNumberFormat="1" applyFont="1" applyFill="1" applyBorder="1" applyAlignment="1">
      <alignment horizontal="center" vertical="center"/>
    </xf>
    <xf numFmtId="167" fontId="27" fillId="0" borderId="160" xfId="0" applyNumberFormat="1" applyFont="1" applyFill="1" applyBorder="1" applyAlignment="1">
      <alignment horizontal="center" vertical="center"/>
    </xf>
    <xf numFmtId="167" fontId="27" fillId="0" borderId="162" xfId="0" applyNumberFormat="1" applyFont="1" applyFill="1" applyBorder="1" applyAlignment="1">
      <alignment horizontal="center" vertical="center"/>
    </xf>
    <xf numFmtId="0" fontId="8" fillId="0" borderId="159" xfId="1187" applyFont="1" applyFill="1" applyBorder="1" applyAlignment="1">
      <alignment horizontal="left" vertical="center" wrapText="1"/>
    </xf>
    <xf numFmtId="0" fontId="8" fillId="0" borderId="159" xfId="1190" applyFont="1" applyFill="1" applyBorder="1" applyAlignment="1">
      <alignment horizontal="left" vertical="center" wrapText="1"/>
    </xf>
    <xf numFmtId="167" fontId="27" fillId="0" borderId="164" xfId="0" applyNumberFormat="1" applyFont="1" applyFill="1" applyBorder="1" applyAlignment="1">
      <alignment horizontal="center" vertical="center"/>
    </xf>
    <xf numFmtId="167" fontId="27" fillId="0" borderId="166" xfId="0" applyNumberFormat="1" applyFont="1" applyFill="1" applyBorder="1" applyAlignment="1">
      <alignment horizontal="center" vertical="center"/>
    </xf>
    <xf numFmtId="0" fontId="0" fillId="0" borderId="197" xfId="0" applyBorder="1" applyAlignment="1">
      <alignment horizontal="center" vertical="center"/>
    </xf>
    <xf numFmtId="167" fontId="0" fillId="0" borderId="157" xfId="0" applyNumberFormat="1" applyBorder="1" applyAlignment="1">
      <alignment horizontal="center" vertical="center"/>
    </xf>
    <xf numFmtId="167" fontId="0" fillId="0" borderId="158" xfId="0" applyNumberFormat="1" applyBorder="1" applyAlignment="1">
      <alignment horizontal="center" vertical="center"/>
    </xf>
    <xf numFmtId="167" fontId="0" fillId="0" borderId="162" xfId="0" applyNumberFormat="1" applyBorder="1" applyAlignment="1">
      <alignment horizontal="center" vertical="center"/>
    </xf>
    <xf numFmtId="167" fontId="0" fillId="0" borderId="165" xfId="0" applyNumberFormat="1" applyBorder="1" applyAlignment="1">
      <alignment horizontal="center" vertical="center"/>
    </xf>
    <xf numFmtId="167" fontId="0" fillId="0" borderId="166" xfId="0" applyNumberFormat="1" applyBorder="1" applyAlignment="1">
      <alignment horizontal="center" vertical="center"/>
    </xf>
    <xf numFmtId="0" fontId="53" fillId="0" borderId="132" xfId="0" applyFont="1" applyBorder="1" applyAlignment="1">
      <alignment horizontal="right" vertical="center" wrapText="1"/>
    </xf>
    <xf numFmtId="0" fontId="53" fillId="0" borderId="158" xfId="0" applyFont="1" applyBorder="1" applyAlignment="1">
      <alignment horizontal="right" vertical="center" wrapText="1"/>
    </xf>
    <xf numFmtId="0" fontId="53" fillId="0" borderId="162" xfId="0" applyFont="1" applyBorder="1" applyAlignment="1">
      <alignment horizontal="right" vertical="center" wrapText="1"/>
    </xf>
    <xf numFmtId="0" fontId="53" fillId="0" borderId="166" xfId="0" applyFont="1" applyBorder="1" applyAlignment="1">
      <alignment horizontal="right" vertical="center" wrapText="1"/>
    </xf>
    <xf numFmtId="0" fontId="53" fillId="0" borderId="172" xfId="0" applyFont="1" applyBorder="1" applyAlignment="1">
      <alignment horizontal="right" vertical="center" wrapText="1"/>
    </xf>
    <xf numFmtId="0" fontId="2" fillId="0" borderId="131" xfId="668" applyFont="1" applyFill="1" applyBorder="1" applyAlignment="1">
      <alignment horizontal="center" vertical="center" wrapText="1"/>
    </xf>
    <xf numFmtId="0" fontId="2" fillId="0" borderId="172" xfId="669" applyFont="1" applyFill="1" applyBorder="1" applyAlignment="1">
      <alignment horizontal="center" vertical="center" wrapText="1"/>
    </xf>
    <xf numFmtId="0" fontId="8" fillId="0" borderId="174" xfId="691" applyFont="1" applyFill="1" applyBorder="1" applyAlignment="1">
      <alignment horizontal="center" vertical="center" wrapText="1"/>
    </xf>
    <xf numFmtId="0" fontId="8" fillId="0" borderId="131" xfId="692" applyFont="1" applyFill="1" applyBorder="1" applyAlignment="1">
      <alignment horizontal="center" vertical="center" wrapText="1"/>
    </xf>
    <xf numFmtId="0" fontId="8" fillId="0" borderId="131" xfId="693" applyFont="1" applyFill="1" applyBorder="1" applyAlignment="1">
      <alignment horizontal="center" vertical="center" wrapText="1"/>
    </xf>
    <xf numFmtId="0" fontId="8" fillId="0" borderId="172" xfId="694" applyFont="1" applyFill="1" applyBorder="1" applyAlignment="1">
      <alignment horizontal="center" vertical="center" wrapText="1"/>
    </xf>
    <xf numFmtId="164" fontId="8" fillId="0" borderId="157" xfId="697" applyNumberFormat="1" applyFont="1" applyFill="1" applyBorder="1" applyAlignment="1">
      <alignment horizontal="right" vertical="center"/>
    </xf>
    <xf numFmtId="164" fontId="8" fillId="0" borderId="157" xfId="698" applyNumberFormat="1" applyFont="1" applyFill="1" applyBorder="1" applyAlignment="1">
      <alignment horizontal="right" vertical="center"/>
    </xf>
    <xf numFmtId="164" fontId="8" fillId="0" borderId="158" xfId="699" applyNumberFormat="1" applyFont="1" applyFill="1" applyBorder="1" applyAlignment="1">
      <alignment horizontal="right" vertical="center"/>
    </xf>
    <xf numFmtId="164" fontId="8" fillId="0" borderId="161" xfId="702" applyNumberFormat="1" applyFont="1" applyFill="1" applyBorder="1" applyAlignment="1">
      <alignment horizontal="right" vertical="center"/>
    </xf>
    <xf numFmtId="164" fontId="8" fillId="0" borderId="161" xfId="703" applyNumberFormat="1" applyFont="1" applyFill="1" applyBorder="1" applyAlignment="1">
      <alignment horizontal="right" vertical="center"/>
    </xf>
    <xf numFmtId="164" fontId="8" fillId="0" borderId="162" xfId="704" applyNumberFormat="1" applyFont="1" applyFill="1" applyBorder="1" applyAlignment="1">
      <alignment horizontal="right" vertical="center"/>
    </xf>
    <xf numFmtId="164" fontId="8" fillId="0" borderId="165" xfId="707" applyNumberFormat="1" applyFont="1" applyFill="1" applyBorder="1" applyAlignment="1">
      <alignment horizontal="right" vertical="center"/>
    </xf>
    <xf numFmtId="164" fontId="8" fillId="0" borderId="165" xfId="708" applyNumberFormat="1" applyFont="1" applyFill="1" applyBorder="1" applyAlignment="1">
      <alignment horizontal="right" vertical="center"/>
    </xf>
    <xf numFmtId="164" fontId="8" fillId="0" borderId="166" xfId="709" applyNumberFormat="1" applyFont="1" applyFill="1" applyBorder="1" applyAlignment="1">
      <alignment horizontal="right" vertical="center"/>
    </xf>
    <xf numFmtId="0" fontId="8" fillId="2" borderId="174" xfId="737" applyFont="1" applyBorder="1" applyAlignment="1">
      <alignment horizontal="right" wrapText="1"/>
    </xf>
    <xf numFmtId="0" fontId="8" fillId="2" borderId="172" xfId="739" applyFont="1" applyBorder="1" applyAlignment="1">
      <alignment horizontal="right" wrapText="1"/>
    </xf>
    <xf numFmtId="0" fontId="8" fillId="0" borderId="155" xfId="759" applyFont="1" applyFill="1" applyBorder="1" applyAlignment="1">
      <alignment horizontal="left" vertical="center" wrapText="1"/>
    </xf>
    <xf numFmtId="164" fontId="8" fillId="2" borderId="156" xfId="760" applyNumberFormat="1" applyFont="1" applyBorder="1" applyAlignment="1">
      <alignment horizontal="right" vertical="center"/>
    </xf>
    <xf numFmtId="164" fontId="8" fillId="2" borderId="158" xfId="761" applyNumberFormat="1" applyFont="1" applyBorder="1" applyAlignment="1">
      <alignment horizontal="right" vertical="center"/>
    </xf>
    <xf numFmtId="0" fontId="8" fillId="0" borderId="159" xfId="730" applyFont="1" applyFill="1" applyBorder="1" applyAlignment="1">
      <alignment horizontal="left" vertical="center" wrapText="1"/>
    </xf>
    <xf numFmtId="164" fontId="8" fillId="2" borderId="160" xfId="762" applyNumberFormat="1" applyFont="1" applyBorder="1" applyAlignment="1">
      <alignment horizontal="right" vertical="center"/>
    </xf>
    <xf numFmtId="164" fontId="8" fillId="2" borderId="162" xfId="763" applyNumberFormat="1" applyFont="1" applyBorder="1" applyAlignment="1">
      <alignment horizontal="right" vertical="center"/>
    </xf>
    <xf numFmtId="0" fontId="8" fillId="0" borderId="159" xfId="733" applyFont="1" applyFill="1" applyBorder="1" applyAlignment="1">
      <alignment horizontal="left" vertical="center" wrapText="1"/>
    </xf>
    <xf numFmtId="164" fontId="8" fillId="2" borderId="160" xfId="764" applyNumberFormat="1" applyFont="1" applyBorder="1" applyAlignment="1">
      <alignment horizontal="right" vertical="center"/>
    </xf>
    <xf numFmtId="164" fontId="8" fillId="2" borderId="162" xfId="765" applyNumberFormat="1" applyFont="1" applyBorder="1" applyAlignment="1">
      <alignment horizontal="right" vertical="center"/>
    </xf>
    <xf numFmtId="0" fontId="8" fillId="0" borderId="163" xfId="730" applyFont="1" applyFill="1" applyBorder="1" applyAlignment="1">
      <alignment horizontal="left" vertical="center" wrapText="1"/>
    </xf>
    <xf numFmtId="164" fontId="8" fillId="2" borderId="164" xfId="762" applyNumberFormat="1" applyFont="1" applyBorder="1" applyAlignment="1">
      <alignment horizontal="right" vertical="center"/>
    </xf>
    <xf numFmtId="164" fontId="8" fillId="2" borderId="166" xfId="763" applyNumberFormat="1" applyFont="1" applyBorder="1" applyAlignment="1">
      <alignment horizontal="right" vertical="center"/>
    </xf>
    <xf numFmtId="0" fontId="8" fillId="0" borderId="135" xfId="1081" applyFont="1" applyFill="1" applyBorder="1" applyAlignment="1">
      <alignment horizontal="right" vertical="center" wrapText="1"/>
    </xf>
    <xf numFmtId="0" fontId="8" fillId="0" borderId="175" xfId="1082" applyFont="1" applyFill="1" applyBorder="1" applyAlignment="1">
      <alignment horizontal="right" vertical="center" wrapText="1"/>
    </xf>
    <xf numFmtId="0" fontId="8" fillId="0" borderId="135" xfId="1083" applyFont="1" applyFill="1" applyBorder="1" applyAlignment="1">
      <alignment horizontal="right" vertical="center" wrapText="1"/>
    </xf>
    <xf numFmtId="0" fontId="8" fillId="0" borderId="132" xfId="1084" applyFont="1" applyFill="1" applyBorder="1" applyAlignment="1">
      <alignment horizontal="right" vertical="center" wrapText="1"/>
    </xf>
    <xf numFmtId="0" fontId="8" fillId="0" borderId="167" xfId="1085" applyFont="1" applyFill="1" applyBorder="1" applyAlignment="1">
      <alignment horizontal="left" vertical="center" wrapText="1"/>
    </xf>
    <xf numFmtId="164" fontId="8" fillId="0" borderId="156" xfId="1086" applyNumberFormat="1" applyFont="1" applyFill="1" applyBorder="1" applyAlignment="1">
      <alignment horizontal="right" vertical="center"/>
    </xf>
    <xf numFmtId="164" fontId="8" fillId="0" borderId="176" xfId="1087" applyNumberFormat="1" applyFont="1" applyFill="1" applyBorder="1" applyAlignment="1">
      <alignment horizontal="right" vertical="center"/>
    </xf>
    <xf numFmtId="164" fontId="8" fillId="0" borderId="156" xfId="1088" applyNumberFormat="1" applyFont="1" applyFill="1" applyBorder="1" applyAlignment="1">
      <alignment horizontal="right" vertical="center"/>
    </xf>
    <xf numFmtId="164" fontId="8" fillId="0" borderId="158" xfId="1089" applyNumberFormat="1" applyFont="1" applyFill="1" applyBorder="1" applyAlignment="1">
      <alignment horizontal="right" vertical="center"/>
    </xf>
    <xf numFmtId="0" fontId="8" fillId="0" borderId="168" xfId="1071" applyFont="1" applyFill="1" applyBorder="1" applyAlignment="1">
      <alignment horizontal="left" vertical="center" wrapText="1"/>
    </xf>
    <xf numFmtId="164" fontId="8" fillId="0" borderId="160" xfId="1090" applyNumberFormat="1" applyFont="1" applyFill="1" applyBorder="1" applyAlignment="1">
      <alignment horizontal="right" vertical="center"/>
    </xf>
    <xf numFmtId="164" fontId="8" fillId="0" borderId="178" xfId="1091" applyNumberFormat="1" applyFont="1" applyFill="1" applyBorder="1" applyAlignment="1">
      <alignment horizontal="right" vertical="center"/>
    </xf>
    <xf numFmtId="164" fontId="8" fillId="0" borderId="160" xfId="1092" applyNumberFormat="1" applyFont="1" applyFill="1" applyBorder="1" applyAlignment="1">
      <alignment horizontal="right" vertical="center"/>
    </xf>
    <xf numFmtId="164" fontId="8" fillId="0" borderId="162" xfId="1093" applyNumberFormat="1" applyFont="1" applyFill="1" applyBorder="1" applyAlignment="1">
      <alignment horizontal="right" vertical="center"/>
    </xf>
    <xf numFmtId="0" fontId="8" fillId="0" borderId="143" xfId="1074" applyFont="1" applyFill="1" applyBorder="1" applyAlignment="1">
      <alignment horizontal="left" vertical="center" wrapText="1"/>
    </xf>
    <xf numFmtId="164" fontId="8" fillId="0" borderId="164" xfId="1094" applyNumberFormat="1" applyFont="1" applyFill="1" applyBorder="1" applyAlignment="1">
      <alignment horizontal="right" vertical="center"/>
    </xf>
    <xf numFmtId="164" fontId="8" fillId="0" borderId="180" xfId="1095" applyNumberFormat="1" applyFont="1" applyFill="1" applyBorder="1" applyAlignment="1">
      <alignment horizontal="right" vertical="center"/>
    </xf>
    <xf numFmtId="164" fontId="8" fillId="0" borderId="164" xfId="1096" applyNumberFormat="1" applyFont="1" applyFill="1" applyBorder="1" applyAlignment="1">
      <alignment horizontal="right" vertical="center"/>
    </xf>
    <xf numFmtId="164" fontId="8" fillId="0" borderId="166" xfId="1097" applyNumberFormat="1" applyFont="1" applyFill="1" applyBorder="1" applyAlignment="1">
      <alignment horizontal="right" vertical="center"/>
    </xf>
    <xf numFmtId="164" fontId="21" fillId="0" borderId="189" xfId="1242" applyNumberFormat="1" applyFont="1" applyFill="1" applyBorder="1" applyAlignment="1">
      <alignment horizontal="center" vertical="center"/>
    </xf>
    <xf numFmtId="164" fontId="21" fillId="0" borderId="201" xfId="1242" applyNumberFormat="1" applyFont="1" applyFill="1" applyBorder="1" applyAlignment="1">
      <alignment horizontal="center" vertical="center"/>
    </xf>
    <xf numFmtId="164" fontId="21" fillId="0" borderId="190" xfId="1242" applyNumberFormat="1" applyFont="1" applyFill="1" applyBorder="1" applyAlignment="1">
      <alignment horizontal="center" vertical="center"/>
    </xf>
    <xf numFmtId="0" fontId="21" fillId="0" borderId="65" xfId="1223" applyFont="1" applyFill="1" applyBorder="1" applyAlignment="1">
      <alignment horizontal="center" vertical="center" wrapText="1"/>
    </xf>
    <xf numFmtId="0" fontId="21" fillId="0" borderId="58" xfId="1225" applyFont="1" applyFill="1" applyBorder="1" applyAlignment="1">
      <alignment horizontal="center" vertical="center" wrapText="1"/>
    </xf>
    <xf numFmtId="0" fontId="21" fillId="0" borderId="58" xfId="1223" applyFont="1" applyFill="1" applyBorder="1" applyAlignment="1">
      <alignment horizontal="center" vertical="center" wrapText="1"/>
    </xf>
    <xf numFmtId="0" fontId="21" fillId="0" borderId="59" xfId="1225" applyFont="1" applyFill="1" applyBorder="1" applyAlignment="1">
      <alignment horizontal="center" vertical="center" wrapText="1"/>
    </xf>
    <xf numFmtId="0" fontId="21" fillId="0" borderId="197" xfId="863" applyFont="1" applyFill="1" applyBorder="1" applyAlignment="1">
      <alignment horizontal="right" vertical="center" wrapText="1"/>
    </xf>
    <xf numFmtId="0" fontId="21" fillId="0" borderId="202" xfId="861" applyFont="1" applyFill="1" applyBorder="1" applyAlignment="1">
      <alignment horizontal="right" vertical="center" wrapText="1"/>
    </xf>
    <xf numFmtId="164" fontId="21" fillId="0" borderId="156" xfId="887" applyNumberFormat="1" applyFont="1" applyFill="1" applyBorder="1" applyAlignment="1">
      <alignment horizontal="right" vertical="center"/>
    </xf>
    <xf numFmtId="164" fontId="21" fillId="0" borderId="158" xfId="888" applyNumberFormat="1" applyFont="1" applyFill="1" applyBorder="1" applyAlignment="1">
      <alignment horizontal="right" vertical="center"/>
    </xf>
    <xf numFmtId="164" fontId="21" fillId="0" borderId="160" xfId="890" applyNumberFormat="1" applyFont="1" applyFill="1" applyBorder="1" applyAlignment="1">
      <alignment horizontal="right" vertical="center"/>
    </xf>
    <xf numFmtId="164" fontId="21" fillId="0" borderId="162" xfId="891" applyNumberFormat="1" applyFont="1" applyFill="1" applyBorder="1" applyAlignment="1">
      <alignment horizontal="right" vertical="center"/>
    </xf>
    <xf numFmtId="164" fontId="21" fillId="0" borderId="160" xfId="893" applyNumberFormat="1" applyFont="1" applyFill="1" applyBorder="1" applyAlignment="1">
      <alignment horizontal="right" vertical="center"/>
    </xf>
    <xf numFmtId="164" fontId="21" fillId="0" borderId="162" xfId="894" applyNumberFormat="1" applyFont="1" applyFill="1" applyBorder="1" applyAlignment="1">
      <alignment horizontal="right" vertical="center"/>
    </xf>
    <xf numFmtId="164" fontId="21" fillId="0" borderId="164" xfId="890" applyNumberFormat="1" applyFont="1" applyFill="1" applyBorder="1" applyAlignment="1">
      <alignment horizontal="right" vertical="center"/>
    </xf>
    <xf numFmtId="164" fontId="21" fillId="0" borderId="166" xfId="891" applyNumberFormat="1" applyFont="1" applyFill="1" applyBorder="1" applyAlignment="1">
      <alignment horizontal="right" vertical="center"/>
    </xf>
    <xf numFmtId="0" fontId="21" fillId="2" borderId="132" xfId="512" applyFont="1" applyFill="1" applyBorder="1" applyAlignment="1">
      <alignment horizontal="center" vertical="center" wrapText="1"/>
    </xf>
    <xf numFmtId="0" fontId="21" fillId="2" borderId="135" xfId="512" applyFont="1" applyFill="1" applyBorder="1" applyAlignment="1">
      <alignment horizontal="center" vertical="center" wrapText="1"/>
    </xf>
    <xf numFmtId="167" fontId="21" fillId="2" borderId="156" xfId="543" applyNumberFormat="1" applyFont="1" applyFill="1" applyBorder="1" applyAlignment="1">
      <alignment horizontal="center" vertical="center"/>
    </xf>
    <xf numFmtId="167" fontId="21" fillId="2" borderId="158" xfId="543" applyNumberFormat="1" applyFont="1" applyFill="1" applyBorder="1" applyAlignment="1">
      <alignment horizontal="center" vertical="center"/>
    </xf>
    <xf numFmtId="167" fontId="21" fillId="2" borderId="160" xfId="543" applyNumberFormat="1" applyFont="1" applyFill="1" applyBorder="1" applyAlignment="1">
      <alignment horizontal="center" vertical="center"/>
    </xf>
    <xf numFmtId="167" fontId="21" fillId="2" borderId="162" xfId="544" applyNumberFormat="1" applyFont="1" applyFill="1" applyBorder="1" applyAlignment="1">
      <alignment horizontal="center" vertical="center"/>
    </xf>
    <xf numFmtId="167" fontId="21" fillId="2" borderId="160" xfId="544" applyNumberFormat="1" applyFont="1" applyFill="1" applyBorder="1" applyAlignment="1">
      <alignment horizontal="center" vertical="center"/>
    </xf>
    <xf numFmtId="167" fontId="21" fillId="2" borderId="162" xfId="543" applyNumberFormat="1" applyFont="1" applyFill="1" applyBorder="1" applyAlignment="1">
      <alignment horizontal="center" vertical="center"/>
    </xf>
    <xf numFmtId="0" fontId="21" fillId="0" borderId="163" xfId="517" applyFont="1" applyBorder="1" applyAlignment="1">
      <alignment horizontal="left" vertical="top" wrapText="1"/>
    </xf>
    <xf numFmtId="0" fontId="21" fillId="0" borderId="135" xfId="962" applyFont="1" applyFill="1" applyBorder="1" applyAlignment="1">
      <alignment horizontal="center" vertical="center" wrapText="1"/>
    </xf>
    <xf numFmtId="0" fontId="21" fillId="0" borderId="121" xfId="963" applyFont="1" applyFill="1" applyBorder="1" applyAlignment="1">
      <alignment horizontal="center" vertical="center" wrapText="1"/>
    </xf>
    <xf numFmtId="0" fontId="21" fillId="0" borderId="132" xfId="963" applyFont="1" applyFill="1" applyBorder="1" applyAlignment="1">
      <alignment horizontal="center" vertical="center" wrapText="1"/>
    </xf>
    <xf numFmtId="0" fontId="21" fillId="0" borderId="167" xfId="992" applyFont="1" applyFill="1" applyBorder="1" applyAlignment="1">
      <alignment horizontal="left" vertical="center" wrapText="1"/>
    </xf>
    <xf numFmtId="164" fontId="21" fillId="0" borderId="156" xfId="993" applyNumberFormat="1" applyFont="1" applyFill="1" applyBorder="1" applyAlignment="1">
      <alignment horizontal="right" vertical="center"/>
    </xf>
    <xf numFmtId="164" fontId="21" fillId="0" borderId="157" xfId="994" applyNumberFormat="1" applyFont="1" applyFill="1" applyBorder="1" applyAlignment="1">
      <alignment horizontal="right" vertical="center"/>
    </xf>
    <xf numFmtId="164" fontId="21" fillId="0" borderId="157" xfId="995" applyNumberFormat="1" applyFont="1" applyFill="1" applyBorder="1" applyAlignment="1">
      <alignment horizontal="right" vertical="center"/>
    </xf>
    <xf numFmtId="164" fontId="21" fillId="0" borderId="158" xfId="996" applyNumberFormat="1" applyFont="1" applyFill="1" applyBorder="1" applyAlignment="1">
      <alignment horizontal="right" vertical="center"/>
    </xf>
    <xf numFmtId="0" fontId="21" fillId="0" borderId="168" xfId="997" applyFont="1" applyFill="1" applyBorder="1" applyAlignment="1">
      <alignment horizontal="left" vertical="center" wrapText="1"/>
    </xf>
    <xf numFmtId="164" fontId="21" fillId="0" borderId="160" xfId="998" applyNumberFormat="1" applyFont="1" applyFill="1" applyBorder="1" applyAlignment="1">
      <alignment horizontal="right" vertical="center"/>
    </xf>
    <xf numFmtId="164" fontId="21" fillId="0" borderId="161" xfId="999" applyNumberFormat="1" applyFont="1" applyFill="1" applyBorder="1" applyAlignment="1">
      <alignment horizontal="right" vertical="center"/>
    </xf>
    <xf numFmtId="164" fontId="21" fillId="0" borderId="161" xfId="1000" applyNumberFormat="1" applyFont="1" applyFill="1" applyBorder="1" applyAlignment="1">
      <alignment horizontal="right" vertical="center"/>
    </xf>
    <xf numFmtId="164" fontId="21" fillId="0" borderId="162" xfId="1001" applyNumberFormat="1" applyFont="1" applyFill="1" applyBorder="1" applyAlignment="1">
      <alignment horizontal="right" vertical="center"/>
    </xf>
    <xf numFmtId="0" fontId="21" fillId="0" borderId="143" xfId="1002" applyFont="1" applyFill="1" applyBorder="1" applyAlignment="1">
      <alignment horizontal="left" vertical="center" wrapText="1"/>
    </xf>
    <xf numFmtId="164" fontId="21" fillId="0" borderId="164" xfId="1003" applyNumberFormat="1" applyFont="1" applyFill="1" applyBorder="1" applyAlignment="1">
      <alignment horizontal="right" vertical="center"/>
    </xf>
    <xf numFmtId="164" fontId="21" fillId="0" borderId="165" xfId="1004" applyNumberFormat="1" applyFont="1" applyFill="1" applyBorder="1" applyAlignment="1">
      <alignment horizontal="right" vertical="center"/>
    </xf>
    <xf numFmtId="164" fontId="21" fillId="0" borderId="165" xfId="1005" applyNumberFormat="1" applyFont="1" applyFill="1" applyBorder="1" applyAlignment="1">
      <alignment horizontal="right" vertical="center"/>
    </xf>
    <xf numFmtId="164" fontId="21" fillId="0" borderId="166" xfId="1006" applyNumberFormat="1" applyFont="1" applyFill="1" applyBorder="1" applyAlignment="1">
      <alignment horizontal="right" vertical="center"/>
    </xf>
    <xf numFmtId="49" fontId="9" fillId="2" borderId="197" xfId="1179" applyNumberFormat="1" applyBorder="1" applyAlignment="1">
      <alignment horizontal="center" vertical="center" wrapText="1"/>
    </xf>
    <xf numFmtId="0" fontId="0" fillId="0" borderId="158" xfId="0" applyBorder="1" applyAlignment="1">
      <alignment horizontal="center" vertical="center"/>
    </xf>
    <xf numFmtId="0" fontId="0" fillId="0" borderId="166" xfId="0" applyBorder="1" applyAlignment="1">
      <alignment horizontal="center" vertical="center"/>
    </xf>
    <xf numFmtId="0" fontId="0" fillId="0" borderId="87" xfId="0" applyBorder="1" applyAlignment="1">
      <alignment horizontal="center" vertical="center"/>
    </xf>
    <xf numFmtId="49" fontId="9" fillId="2" borderId="196" xfId="1179" applyNumberFormat="1" applyBorder="1" applyAlignment="1">
      <alignment horizontal="center" vertical="center" wrapText="1"/>
    </xf>
    <xf numFmtId="0" fontId="0" fillId="0" borderId="156" xfId="0" applyBorder="1" applyAlignment="1">
      <alignment horizontal="center" vertical="center"/>
    </xf>
    <xf numFmtId="0" fontId="0" fillId="0" borderId="164" xfId="0" applyBorder="1" applyAlignment="1">
      <alignment horizontal="center" vertical="center"/>
    </xf>
    <xf numFmtId="165" fontId="8" fillId="0" borderId="59" xfId="1295" applyNumberFormat="1" applyFont="1" applyFill="1" applyBorder="1" applyAlignment="1">
      <alignment horizontal="center" vertical="center"/>
    </xf>
    <xf numFmtId="165" fontId="8" fillId="0" borderId="65" xfId="1294" applyNumberFormat="1" applyFont="1" applyFill="1" applyBorder="1" applyAlignment="1">
      <alignment horizontal="center" vertical="center"/>
    </xf>
    <xf numFmtId="165" fontId="8" fillId="0" borderId="187" xfId="1294" applyNumberFormat="1" applyFont="1" applyFill="1" applyBorder="1" applyAlignment="1">
      <alignment horizontal="center" vertical="center"/>
    </xf>
    <xf numFmtId="165" fontId="8" fillId="0" borderId="188" xfId="1294" applyNumberFormat="1" applyFont="1" applyFill="1" applyBorder="1" applyAlignment="1">
      <alignment horizontal="center" vertical="center"/>
    </xf>
    <xf numFmtId="165" fontId="8" fillId="0" borderId="59" xfId="1294" applyNumberFormat="1" applyFont="1" applyFill="1" applyBorder="1" applyAlignment="1">
      <alignment horizontal="center" vertical="center"/>
    </xf>
    <xf numFmtId="0" fontId="8" fillId="0" borderId="135" xfId="1283" applyFont="1" applyFill="1" applyBorder="1" applyAlignment="1">
      <alignment horizontal="center" vertical="center" wrapText="1"/>
    </xf>
    <xf numFmtId="0" fontId="8" fillId="0" borderId="175" xfId="1284" applyFont="1" applyFill="1" applyBorder="1" applyAlignment="1">
      <alignment horizontal="center" vertical="center" wrapText="1"/>
    </xf>
    <xf numFmtId="0" fontId="8" fillId="0" borderId="135" xfId="1284" applyFont="1" applyFill="1" applyBorder="1" applyAlignment="1">
      <alignment horizontal="center" vertical="center" wrapText="1"/>
    </xf>
    <xf numFmtId="0" fontId="8" fillId="0" borderId="132" xfId="1284" applyFont="1" applyFill="1" applyBorder="1" applyAlignment="1">
      <alignment horizontal="center" vertical="center" wrapText="1"/>
    </xf>
    <xf numFmtId="0" fontId="8" fillId="0" borderId="169" xfId="1284" applyFont="1" applyFill="1" applyBorder="1" applyAlignment="1">
      <alignment horizontal="center" vertical="center" wrapText="1"/>
    </xf>
    <xf numFmtId="0" fontId="8" fillId="0" borderId="176" xfId="1286" applyFont="1" applyFill="1" applyBorder="1" applyAlignment="1">
      <alignment horizontal="left" vertical="top" wrapText="1"/>
    </xf>
    <xf numFmtId="169" fontId="8" fillId="0" borderId="156" xfId="1287" applyNumberFormat="1" applyFont="1" applyFill="1" applyBorder="1" applyAlignment="1">
      <alignment horizontal="center" vertical="center"/>
    </xf>
    <xf numFmtId="169" fontId="8" fillId="0" borderId="176" xfId="1288" applyNumberFormat="1" applyFont="1" applyFill="1" applyBorder="1" applyAlignment="1">
      <alignment horizontal="center" vertical="center"/>
    </xf>
    <xf numFmtId="169" fontId="8" fillId="0" borderId="156" xfId="1288" applyNumberFormat="1" applyFont="1" applyFill="1" applyBorder="1" applyAlignment="1">
      <alignment horizontal="center" vertical="center"/>
    </xf>
    <xf numFmtId="169" fontId="8" fillId="0" borderId="158" xfId="1288" applyNumberFormat="1" applyFont="1" applyFill="1" applyBorder="1" applyAlignment="1">
      <alignment horizontal="center" vertical="center"/>
    </xf>
    <xf numFmtId="169" fontId="8" fillId="0" borderId="177" xfId="1288" applyNumberFormat="1" applyFont="1" applyFill="1" applyBorder="1" applyAlignment="1">
      <alignment horizontal="center" vertical="center"/>
    </xf>
    <xf numFmtId="0" fontId="8" fillId="0" borderId="178" xfId="1290" applyFont="1" applyFill="1" applyBorder="1" applyAlignment="1">
      <alignment horizontal="left" vertical="top" wrapText="1"/>
    </xf>
    <xf numFmtId="169" fontId="8" fillId="0" borderId="160" xfId="1291" applyNumberFormat="1" applyFont="1" applyFill="1" applyBorder="1" applyAlignment="1">
      <alignment horizontal="center" vertical="center"/>
    </xf>
    <xf numFmtId="169" fontId="8" fillId="0" borderId="178" xfId="1292" applyNumberFormat="1" applyFont="1" applyFill="1" applyBorder="1" applyAlignment="1">
      <alignment horizontal="center" vertical="center"/>
    </xf>
    <xf numFmtId="169" fontId="8" fillId="0" borderId="160" xfId="1292" applyNumberFormat="1" applyFont="1" applyFill="1" applyBorder="1" applyAlignment="1">
      <alignment horizontal="center" vertical="center"/>
    </xf>
    <xf numFmtId="169" fontId="8" fillId="0" borderId="162" xfId="1292" applyNumberFormat="1" applyFont="1" applyFill="1" applyBorder="1" applyAlignment="1">
      <alignment horizontal="center" vertical="center"/>
    </xf>
    <xf numFmtId="169" fontId="8" fillId="0" borderId="179" xfId="1292" applyNumberFormat="1" applyFont="1" applyFill="1" applyBorder="1" applyAlignment="1">
      <alignment horizontal="center" vertical="center"/>
    </xf>
    <xf numFmtId="169" fontId="8" fillId="0" borderId="160" xfId="1288" applyNumberFormat="1" applyFont="1" applyFill="1" applyBorder="1" applyAlignment="1">
      <alignment horizontal="center" vertical="center"/>
    </xf>
    <xf numFmtId="0" fontId="8" fillId="0" borderId="195" xfId="1290" applyFont="1" applyFill="1" applyBorder="1" applyAlignment="1">
      <alignment horizontal="left" vertical="top" wrapText="1"/>
    </xf>
    <xf numFmtId="169" fontId="8" fillId="0" borderId="192" xfId="1291" applyNumberFormat="1" applyFont="1" applyFill="1" applyBorder="1" applyAlignment="1">
      <alignment horizontal="center" vertical="center"/>
    </xf>
    <xf numFmtId="169" fontId="8" fillId="0" borderId="195" xfId="1292" applyNumberFormat="1" applyFont="1" applyFill="1" applyBorder="1" applyAlignment="1">
      <alignment horizontal="center" vertical="center"/>
    </xf>
    <xf numFmtId="169" fontId="8" fillId="0" borderId="192" xfId="1292" applyNumberFormat="1" applyFont="1" applyFill="1" applyBorder="1" applyAlignment="1">
      <alignment horizontal="center" vertical="center"/>
    </xf>
    <xf numFmtId="169" fontId="8" fillId="0" borderId="193" xfId="1292" applyNumberFormat="1" applyFont="1" applyFill="1" applyBorder="1" applyAlignment="1">
      <alignment horizontal="center" vertical="center"/>
    </xf>
    <xf numFmtId="169" fontId="8" fillId="0" borderId="194" xfId="1292" applyNumberFormat="1" applyFont="1" applyFill="1" applyBorder="1" applyAlignment="1">
      <alignment horizontal="center" vertical="center"/>
    </xf>
    <xf numFmtId="169" fontId="8" fillId="0" borderId="192" xfId="1288" applyNumberFormat="1" applyFont="1" applyFill="1" applyBorder="1" applyAlignment="1">
      <alignment horizontal="center" vertical="center"/>
    </xf>
    <xf numFmtId="167" fontId="14" fillId="2" borderId="198" xfId="1258" applyNumberFormat="1" applyFont="1" applyBorder="1" applyAlignment="1">
      <alignment horizontal="center" vertical="center" wrapText="1"/>
    </xf>
    <xf numFmtId="167" fontId="14" fillId="2" borderId="197" xfId="1259" applyNumberFormat="1" applyFont="1" applyBorder="1" applyAlignment="1">
      <alignment horizontal="center" vertical="center" wrapText="1"/>
    </xf>
    <xf numFmtId="167" fontId="14" fillId="2" borderId="202" xfId="1257" applyNumberFormat="1" applyFont="1" applyBorder="1" applyAlignment="1">
      <alignment horizontal="center" vertical="center" wrapText="1"/>
    </xf>
    <xf numFmtId="167" fontId="14" fillId="2" borderId="177" xfId="1262" applyNumberFormat="1" applyFont="1" applyBorder="1" applyAlignment="1">
      <alignment horizontal="center" vertical="center"/>
    </xf>
    <xf numFmtId="167" fontId="14" fillId="2" borderId="157" xfId="1263" applyNumberFormat="1" applyFont="1" applyBorder="1" applyAlignment="1">
      <alignment horizontal="center" vertical="center"/>
    </xf>
    <xf numFmtId="167" fontId="14" fillId="2" borderId="158" xfId="1264" applyNumberFormat="1" applyFont="1" applyBorder="1" applyAlignment="1">
      <alignment horizontal="center" vertical="center"/>
    </xf>
    <xf numFmtId="167" fontId="14" fillId="2" borderId="179" xfId="1267" applyNumberFormat="1" applyFont="1" applyBorder="1" applyAlignment="1">
      <alignment horizontal="center" vertical="center"/>
    </xf>
    <xf numFmtId="167" fontId="14" fillId="2" borderId="161" xfId="1268" applyNumberFormat="1" applyFont="1" applyBorder="1" applyAlignment="1">
      <alignment horizontal="center" vertical="center"/>
    </xf>
    <xf numFmtId="167" fontId="14" fillId="2" borderId="162" xfId="1269" applyNumberFormat="1" applyFont="1" applyBorder="1" applyAlignment="1">
      <alignment horizontal="center" vertical="center"/>
    </xf>
    <xf numFmtId="167" fontId="14" fillId="2" borderId="181" xfId="1272" applyNumberFormat="1" applyFont="1" applyBorder="1" applyAlignment="1">
      <alignment horizontal="center" vertical="center"/>
    </xf>
    <xf numFmtId="167" fontId="14" fillId="2" borderId="165" xfId="1273" applyNumberFormat="1" applyFont="1" applyBorder="1" applyAlignment="1">
      <alignment horizontal="center" vertical="center"/>
    </xf>
    <xf numFmtId="167" fontId="14" fillId="2" borderId="166" xfId="1274" applyNumberFormat="1" applyFont="1" applyBorder="1" applyAlignment="1">
      <alignment horizontal="center" vertical="center"/>
    </xf>
    <xf numFmtId="0" fontId="21" fillId="0" borderId="132" xfId="1303" applyFont="1" applyFill="1" applyBorder="1" applyAlignment="1">
      <alignment horizontal="center" vertical="center" wrapText="1"/>
    </xf>
    <xf numFmtId="0" fontId="21" fillId="0" borderId="135" xfId="1302" applyFont="1" applyFill="1" applyBorder="1" applyAlignment="1">
      <alignment horizontal="center" vertical="center" wrapText="1"/>
    </xf>
    <xf numFmtId="167" fontId="21" fillId="0" borderId="156" xfId="1313" applyNumberFormat="1" applyFont="1" applyFill="1" applyBorder="1" applyAlignment="1">
      <alignment horizontal="center" vertical="center"/>
    </xf>
    <xf numFmtId="167" fontId="21" fillId="0" borderId="158" xfId="1313" applyNumberFormat="1" applyFont="1" applyFill="1" applyBorder="1" applyAlignment="1">
      <alignment horizontal="center" vertical="center"/>
    </xf>
    <xf numFmtId="167" fontId="21" fillId="0" borderId="177" xfId="1313" applyNumberFormat="1" applyFont="1" applyFill="1" applyBorder="1" applyAlignment="1">
      <alignment horizontal="center" vertical="center"/>
    </xf>
    <xf numFmtId="167" fontId="21" fillId="0" borderId="176" xfId="1313" applyNumberFormat="1" applyFont="1" applyFill="1" applyBorder="1" applyAlignment="1">
      <alignment horizontal="center" vertical="center"/>
    </xf>
    <xf numFmtId="167" fontId="21" fillId="0" borderId="160" xfId="1313" applyNumberFormat="1" applyFont="1" applyFill="1" applyBorder="1" applyAlignment="1">
      <alignment horizontal="center" vertical="center"/>
    </xf>
    <xf numFmtId="167" fontId="21" fillId="0" borderId="162" xfId="1313" applyNumberFormat="1" applyFont="1" applyFill="1" applyBorder="1" applyAlignment="1">
      <alignment horizontal="center" vertical="center"/>
    </xf>
    <xf numFmtId="167" fontId="21" fillId="0" borderId="179" xfId="1313" applyNumberFormat="1" applyFont="1" applyFill="1" applyBorder="1" applyAlignment="1">
      <alignment horizontal="center" vertical="center"/>
    </xf>
    <xf numFmtId="167" fontId="21" fillId="0" borderId="178" xfId="1313" applyNumberFormat="1" applyFont="1" applyFill="1" applyBorder="1" applyAlignment="1">
      <alignment horizontal="center" vertical="center"/>
    </xf>
    <xf numFmtId="167" fontId="21" fillId="0" borderId="164" xfId="1313" applyNumberFormat="1" applyFont="1" applyFill="1" applyBorder="1" applyAlignment="1">
      <alignment horizontal="center" vertical="center"/>
    </xf>
    <xf numFmtId="167" fontId="21" fillId="0" borderId="166" xfId="1313" applyNumberFormat="1" applyFont="1" applyFill="1" applyBorder="1" applyAlignment="1">
      <alignment horizontal="center" vertical="center"/>
    </xf>
    <xf numFmtId="167" fontId="21" fillId="0" borderId="181" xfId="1313" applyNumberFormat="1" applyFont="1" applyFill="1" applyBorder="1" applyAlignment="1">
      <alignment horizontal="center" vertical="center"/>
    </xf>
    <xf numFmtId="167" fontId="21" fillId="0" borderId="180" xfId="1313" applyNumberFormat="1" applyFont="1" applyFill="1" applyBorder="1" applyAlignment="1">
      <alignment horizontal="center" vertical="center"/>
    </xf>
    <xf numFmtId="0" fontId="21" fillId="0" borderId="155" xfId="1304" applyFont="1" applyFill="1" applyBorder="1" applyAlignment="1">
      <alignment horizontal="left" vertical="center" wrapText="1"/>
    </xf>
    <xf numFmtId="0" fontId="21" fillId="0" borderId="159" xfId="1307" applyFont="1" applyFill="1" applyBorder="1" applyAlignment="1">
      <alignment horizontal="left" vertical="center" wrapText="1"/>
    </xf>
    <xf numFmtId="0" fontId="21" fillId="0" borderId="163" xfId="1307" applyFont="1" applyFill="1" applyBorder="1" applyAlignment="1">
      <alignment horizontal="left" vertical="center" wrapText="1"/>
    </xf>
    <xf numFmtId="165" fontId="21" fillId="0" borderId="59" xfId="1335" applyNumberFormat="1" applyFont="1" applyFill="1" applyBorder="1" applyAlignment="1">
      <alignment horizontal="center" vertical="center"/>
    </xf>
    <xf numFmtId="0" fontId="21" fillId="0" borderId="132" xfId="1325" applyFont="1" applyFill="1" applyBorder="1" applyAlignment="1">
      <alignment horizontal="center" vertical="center" wrapText="1"/>
    </xf>
    <xf numFmtId="164" fontId="21" fillId="0" borderId="158" xfId="1329" applyNumberFormat="1" applyFont="1" applyFill="1" applyBorder="1" applyAlignment="1">
      <alignment horizontal="center" vertical="center"/>
    </xf>
    <xf numFmtId="164" fontId="21" fillId="0" borderId="162" xfId="1333" applyNumberFormat="1" applyFont="1" applyFill="1" applyBorder="1" applyAlignment="1">
      <alignment horizontal="center" vertical="center"/>
    </xf>
    <xf numFmtId="164" fontId="21" fillId="0" borderId="193" xfId="1333" applyNumberFormat="1" applyFont="1" applyFill="1" applyBorder="1" applyAlignment="1">
      <alignment horizontal="center" vertical="center"/>
    </xf>
    <xf numFmtId="0" fontId="8" fillId="0" borderId="169" xfId="1325" applyFont="1" applyFill="1" applyBorder="1" applyAlignment="1">
      <alignment horizontal="center" vertical="center" wrapText="1"/>
    </xf>
    <xf numFmtId="164" fontId="8" fillId="0" borderId="177" xfId="1329" applyNumberFormat="1" applyFont="1" applyFill="1" applyBorder="1" applyAlignment="1">
      <alignment horizontal="center" vertical="center"/>
    </xf>
    <xf numFmtId="164" fontId="8" fillId="0" borderId="179" xfId="1333" applyNumberFormat="1" applyFont="1" applyFill="1" applyBorder="1" applyAlignment="1">
      <alignment horizontal="center" vertical="center"/>
    </xf>
    <xf numFmtId="164" fontId="8" fillId="0" borderId="194" xfId="1333" applyNumberFormat="1" applyFont="1" applyFill="1" applyBorder="1" applyAlignment="1">
      <alignment horizontal="center" vertical="center"/>
    </xf>
    <xf numFmtId="165" fontId="8" fillId="0" borderId="188" xfId="1335" applyNumberFormat="1" applyFont="1" applyFill="1" applyBorder="1" applyAlignment="1">
      <alignment horizontal="center" vertical="center"/>
    </xf>
    <xf numFmtId="0" fontId="8" fillId="0" borderId="135" xfId="1324" applyFont="1" applyFill="1" applyBorder="1" applyAlignment="1">
      <alignment horizontal="center" vertical="center" wrapText="1"/>
    </xf>
    <xf numFmtId="0" fontId="8" fillId="0" borderId="132" xfId="1325" applyFont="1" applyFill="1" applyBorder="1" applyAlignment="1">
      <alignment horizontal="center" vertical="center" wrapText="1"/>
    </xf>
    <xf numFmtId="164" fontId="8" fillId="0" borderId="156" xfId="1328" applyNumberFormat="1" applyFont="1" applyFill="1" applyBorder="1" applyAlignment="1">
      <alignment horizontal="center" vertical="center"/>
    </xf>
    <xf numFmtId="164" fontId="8" fillId="0" borderId="158" xfId="1329" applyNumberFormat="1" applyFont="1" applyFill="1" applyBorder="1" applyAlignment="1">
      <alignment horizontal="center" vertical="center"/>
    </xf>
    <xf numFmtId="164" fontId="8" fillId="0" borderId="160" xfId="1332" applyNumberFormat="1" applyFont="1" applyFill="1" applyBorder="1" applyAlignment="1">
      <alignment horizontal="center" vertical="center"/>
    </xf>
    <xf numFmtId="164" fontId="8" fillId="0" borderId="162" xfId="1333" applyNumberFormat="1" applyFont="1" applyFill="1" applyBorder="1" applyAlignment="1">
      <alignment horizontal="center" vertical="center"/>
    </xf>
    <xf numFmtId="164" fontId="8" fillId="0" borderId="192" xfId="1332" applyNumberFormat="1" applyFont="1" applyFill="1" applyBorder="1" applyAlignment="1">
      <alignment horizontal="center" vertical="center"/>
    </xf>
    <xf numFmtId="164" fontId="8" fillId="0" borderId="193" xfId="1333" applyNumberFormat="1" applyFont="1" applyFill="1" applyBorder="1" applyAlignment="1">
      <alignment horizontal="center" vertical="center"/>
    </xf>
    <xf numFmtId="165" fontId="8" fillId="0" borderId="65" xfId="1335" applyNumberFormat="1" applyFont="1" applyFill="1" applyBorder="1" applyAlignment="1">
      <alignment horizontal="center" vertical="center"/>
    </xf>
    <xf numFmtId="165" fontId="8" fillId="0" borderId="59" xfId="1335" applyNumberFormat="1" applyFont="1" applyFill="1" applyBorder="1" applyAlignment="1">
      <alignment horizontal="center" vertical="center"/>
    </xf>
    <xf numFmtId="0" fontId="8" fillId="0" borderId="175" xfId="1325" applyFont="1" applyFill="1" applyBorder="1" applyAlignment="1">
      <alignment horizontal="center" vertical="center" wrapText="1"/>
    </xf>
    <xf numFmtId="164" fontId="8" fillId="0" borderId="176" xfId="1329" applyNumberFormat="1" applyFont="1" applyFill="1" applyBorder="1" applyAlignment="1">
      <alignment horizontal="center" vertical="center"/>
    </xf>
    <xf numFmtId="164" fontId="8" fillId="0" borderId="178" xfId="1333" applyNumberFormat="1" applyFont="1" applyFill="1" applyBorder="1" applyAlignment="1">
      <alignment horizontal="center" vertical="center"/>
    </xf>
    <xf numFmtId="164" fontId="8" fillId="0" borderId="195" xfId="1333" applyNumberFormat="1" applyFont="1" applyFill="1" applyBorder="1" applyAlignment="1">
      <alignment horizontal="center" vertical="center"/>
    </xf>
    <xf numFmtId="165" fontId="8" fillId="0" borderId="187" xfId="1335" applyNumberFormat="1" applyFont="1" applyFill="1" applyBorder="1" applyAlignment="1">
      <alignment horizontal="center" vertical="center"/>
    </xf>
    <xf numFmtId="0" fontId="21" fillId="0" borderId="169" xfId="1325" applyFont="1" applyFill="1" applyBorder="1" applyAlignment="1">
      <alignment horizontal="center" vertical="center" wrapText="1"/>
    </xf>
    <xf numFmtId="164" fontId="21" fillId="0" borderId="177" xfId="1329" applyNumberFormat="1" applyFont="1" applyFill="1" applyBorder="1" applyAlignment="1">
      <alignment horizontal="center" vertical="center"/>
    </xf>
    <xf numFmtId="164" fontId="21" fillId="0" borderId="179" xfId="1333" applyNumberFormat="1" applyFont="1" applyFill="1" applyBorder="1" applyAlignment="1">
      <alignment horizontal="center" vertical="center"/>
    </xf>
    <xf numFmtId="164" fontId="21" fillId="0" borderId="194" xfId="1333" applyNumberFormat="1" applyFont="1" applyFill="1" applyBorder="1" applyAlignment="1">
      <alignment horizontal="center" vertical="center"/>
    </xf>
    <xf numFmtId="165" fontId="21" fillId="0" borderId="188" xfId="1335" applyNumberFormat="1" applyFont="1" applyFill="1" applyBorder="1" applyAlignment="1">
      <alignment horizontal="center" vertical="center"/>
    </xf>
    <xf numFmtId="0" fontId="8" fillId="0" borderId="135" xfId="1325" applyFont="1" applyFill="1" applyBorder="1" applyAlignment="1">
      <alignment horizontal="center" vertical="center" wrapText="1"/>
    </xf>
    <xf numFmtId="164" fontId="8" fillId="0" borderId="156" xfId="1329" applyNumberFormat="1" applyFont="1" applyFill="1" applyBorder="1" applyAlignment="1">
      <alignment horizontal="center" vertical="center"/>
    </xf>
    <xf numFmtId="164" fontId="8" fillId="0" borderId="160" xfId="1333" applyNumberFormat="1" applyFont="1" applyFill="1" applyBorder="1" applyAlignment="1">
      <alignment horizontal="center" vertical="center"/>
    </xf>
    <xf numFmtId="164" fontId="8" fillId="0" borderId="192" xfId="1333" applyNumberFormat="1" applyFont="1" applyFill="1" applyBorder="1" applyAlignment="1">
      <alignment horizontal="center" vertical="center"/>
    </xf>
    <xf numFmtId="0" fontId="8" fillId="0" borderId="155" xfId="1326" applyFont="1" applyFill="1" applyBorder="1" applyAlignment="1">
      <alignment vertical="center" wrapText="1"/>
    </xf>
    <xf numFmtId="0" fontId="8" fillId="0" borderId="159" xfId="1330" applyFont="1" applyFill="1" applyBorder="1" applyAlignment="1">
      <alignment vertical="center" wrapText="1"/>
    </xf>
    <xf numFmtId="0" fontId="8" fillId="0" borderId="191" xfId="1330" applyFont="1" applyFill="1" applyBorder="1" applyAlignment="1">
      <alignment vertical="center" wrapText="1"/>
    </xf>
    <xf numFmtId="0" fontId="8" fillId="0" borderId="134" xfId="1334" applyFont="1" applyFill="1" applyBorder="1" applyAlignment="1">
      <alignment vertical="center" wrapText="1"/>
    </xf>
    <xf numFmtId="164" fontId="21" fillId="0" borderId="158" xfId="1329" applyNumberFormat="1" applyFont="1" applyFill="1" applyBorder="1" applyAlignment="1">
      <alignment horizontal="right" vertical="center"/>
    </xf>
    <xf numFmtId="164" fontId="21" fillId="0" borderId="166" xfId="1333" applyNumberFormat="1" applyFont="1" applyFill="1" applyBorder="1" applyAlignment="1">
      <alignment horizontal="right" vertical="center"/>
    </xf>
    <xf numFmtId="0" fontId="8" fillId="0" borderId="163" xfId="1330" applyFont="1" applyFill="1" applyBorder="1" applyAlignment="1">
      <alignment vertical="center" wrapText="1"/>
    </xf>
    <xf numFmtId="0" fontId="8" fillId="0" borderId="169" xfId="1324" applyFont="1" applyFill="1" applyBorder="1" applyAlignment="1">
      <alignment horizontal="center" vertical="center" wrapText="1"/>
    </xf>
    <xf numFmtId="164" fontId="8" fillId="0" borderId="177" xfId="1329" applyNumberFormat="1" applyFont="1" applyFill="1" applyBorder="1" applyAlignment="1">
      <alignment horizontal="right" vertical="center"/>
    </xf>
    <xf numFmtId="164" fontId="8" fillId="0" borderId="181" xfId="1333" applyNumberFormat="1" applyFont="1" applyFill="1" applyBorder="1" applyAlignment="1">
      <alignment horizontal="right" vertical="center"/>
    </xf>
    <xf numFmtId="164" fontId="8" fillId="0" borderId="156" xfId="1328" applyNumberFormat="1" applyFont="1" applyFill="1" applyBorder="1" applyAlignment="1">
      <alignment horizontal="right" vertical="center"/>
    </xf>
    <xf numFmtId="164" fontId="8" fillId="0" borderId="158" xfId="1329" applyNumberFormat="1" applyFont="1" applyFill="1" applyBorder="1" applyAlignment="1">
      <alignment horizontal="right" vertical="center"/>
    </xf>
    <xf numFmtId="164" fontId="8" fillId="0" borderId="164" xfId="1332" applyNumberFormat="1" applyFont="1" applyFill="1" applyBorder="1" applyAlignment="1">
      <alignment horizontal="right" vertical="center"/>
    </xf>
    <xf numFmtId="164" fontId="8" fillId="0" borderId="166" xfId="1333" applyNumberFormat="1" applyFont="1" applyFill="1" applyBorder="1" applyAlignment="1">
      <alignment horizontal="right" vertical="center"/>
    </xf>
    <xf numFmtId="164" fontId="8" fillId="0" borderId="176" xfId="1329" applyNumberFormat="1" applyFont="1" applyFill="1" applyBorder="1" applyAlignment="1">
      <alignment horizontal="right" vertical="center"/>
    </xf>
    <xf numFmtId="164" fontId="8" fillId="0" borderId="180" xfId="1333" applyNumberFormat="1" applyFont="1" applyFill="1" applyBorder="1" applyAlignment="1">
      <alignment horizontal="right" vertical="center"/>
    </xf>
    <xf numFmtId="164" fontId="21" fillId="0" borderId="177" xfId="1329" applyNumberFormat="1" applyFont="1" applyFill="1" applyBorder="1" applyAlignment="1">
      <alignment horizontal="right" vertical="center"/>
    </xf>
    <xf numFmtId="164" fontId="21" fillId="0" borderId="181" xfId="1333" applyNumberFormat="1" applyFont="1" applyFill="1" applyBorder="1" applyAlignment="1">
      <alignment horizontal="right" vertical="center"/>
    </xf>
    <xf numFmtId="164" fontId="8" fillId="0" borderId="156" xfId="1329" applyNumberFormat="1" applyFont="1" applyFill="1" applyBorder="1" applyAlignment="1">
      <alignment horizontal="right" vertical="center"/>
    </xf>
    <xf numFmtId="164" fontId="8" fillId="0" borderId="164" xfId="1333" applyNumberFormat="1" applyFont="1" applyFill="1" applyBorder="1" applyAlignment="1">
      <alignment horizontal="right" vertical="center"/>
    </xf>
    <xf numFmtId="0" fontId="20" fillId="0" borderId="122" xfId="0" applyFont="1" applyBorder="1" applyAlignment="1">
      <alignment horizontal="center" vertical="center" wrapText="1"/>
    </xf>
    <xf numFmtId="0" fontId="20" fillId="0" borderId="136" xfId="0" quotePrefix="1" applyNumberFormat="1" applyFont="1" applyBorder="1" applyAlignment="1">
      <alignment horizontal="center" vertical="center" wrapText="1"/>
    </xf>
    <xf numFmtId="0" fontId="20" fillId="0" borderId="188" xfId="0" quotePrefix="1" applyNumberFormat="1" applyFont="1" applyBorder="1" applyAlignment="1">
      <alignment horizontal="center" vertical="center" wrapText="1"/>
    </xf>
    <xf numFmtId="0" fontId="20" fillId="0" borderId="88" xfId="0" applyFont="1" applyBorder="1" applyAlignment="1">
      <alignment horizontal="left" vertical="center" wrapText="1"/>
    </xf>
    <xf numFmtId="0" fontId="20" fillId="0" borderId="94" xfId="0" applyFont="1" applyBorder="1" applyAlignment="1">
      <alignment horizontal="left" vertical="center" wrapText="1"/>
    </xf>
    <xf numFmtId="0" fontId="20" fillId="0" borderId="31" xfId="0" applyFont="1" applyBorder="1" applyAlignment="1">
      <alignment horizontal="center" vertical="center" wrapText="1"/>
    </xf>
    <xf numFmtId="0" fontId="20" fillId="0" borderId="139" xfId="0" quotePrefix="1" applyNumberFormat="1" applyFont="1" applyBorder="1" applyAlignment="1">
      <alignment horizontal="center" vertical="center" wrapText="1"/>
    </xf>
    <xf numFmtId="0" fontId="20" fillId="0" borderId="119" xfId="0" quotePrefix="1" applyNumberFormat="1" applyFont="1" applyBorder="1" applyAlignment="1">
      <alignment horizontal="center" vertical="center" wrapText="1"/>
    </xf>
    <xf numFmtId="0" fontId="20" fillId="0" borderId="187" xfId="0" quotePrefix="1" applyNumberFormat="1" applyFont="1" applyBorder="1" applyAlignment="1">
      <alignment horizontal="center" vertical="center" wrapText="1"/>
    </xf>
    <xf numFmtId="0" fontId="20" fillId="0" borderId="123" xfId="0" applyFont="1" applyBorder="1" applyAlignment="1">
      <alignment horizontal="center" vertical="center" wrapText="1"/>
    </xf>
    <xf numFmtId="0" fontId="20" fillId="0" borderId="88" xfId="0" applyFont="1" applyBorder="1" applyAlignment="1">
      <alignment horizontal="center" vertical="center" wrapText="1"/>
    </xf>
    <xf numFmtId="0" fontId="20" fillId="0" borderId="94" xfId="0" applyFont="1" applyBorder="1" applyAlignment="1">
      <alignment horizontal="center" vertical="center" wrapText="1"/>
    </xf>
    <xf numFmtId="0" fontId="14" fillId="2" borderId="204" xfId="1411" applyFont="1" applyFill="1" applyBorder="1" applyAlignment="1">
      <alignment horizontal="center" wrapText="1"/>
    </xf>
    <xf numFmtId="0" fontId="14" fillId="2" borderId="210" xfId="1414" applyFont="1" applyFill="1" applyBorder="1" applyAlignment="1">
      <alignment horizontal="center" wrapText="1"/>
    </xf>
    <xf numFmtId="0" fontId="14" fillId="2" borderId="210" xfId="1415" applyFont="1" applyFill="1" applyBorder="1" applyAlignment="1">
      <alignment horizontal="center" wrapText="1"/>
    </xf>
    <xf numFmtId="0" fontId="14" fillId="2" borderId="209" xfId="1415" applyFont="1" applyFill="1" applyBorder="1" applyAlignment="1">
      <alignment horizontal="center" wrapText="1"/>
    </xf>
    <xf numFmtId="164" fontId="14" fillId="2" borderId="204" xfId="1418" applyNumberFormat="1" applyFont="1" applyFill="1" applyBorder="1" applyAlignment="1">
      <alignment horizontal="right" vertical="center"/>
    </xf>
    <xf numFmtId="164" fontId="14" fillId="2" borderId="204" xfId="1419" applyNumberFormat="1" applyFont="1" applyFill="1" applyBorder="1" applyAlignment="1">
      <alignment horizontal="right" vertical="center"/>
    </xf>
    <xf numFmtId="164" fontId="14" fillId="2" borderId="31" xfId="1418" applyNumberFormat="1" applyFont="1" applyFill="1" applyBorder="1" applyAlignment="1">
      <alignment horizontal="right" vertical="center"/>
    </xf>
    <xf numFmtId="164" fontId="14" fillId="2" borderId="31" xfId="1422" applyNumberFormat="1" applyFont="1" applyFill="1" applyBorder="1" applyAlignment="1">
      <alignment horizontal="right" vertical="center"/>
    </xf>
    <xf numFmtId="170" fontId="14" fillId="2" borderId="31" xfId="1423" applyNumberFormat="1" applyFont="1" applyFill="1" applyBorder="1" applyAlignment="1">
      <alignment horizontal="right" vertical="center"/>
    </xf>
    <xf numFmtId="164" fontId="14" fillId="2" borderId="209" xfId="1418" applyNumberFormat="1" applyFont="1" applyFill="1" applyBorder="1" applyAlignment="1">
      <alignment horizontal="right" vertical="center"/>
    </xf>
    <xf numFmtId="165" fontId="14" fillId="2" borderId="211" xfId="1425" applyNumberFormat="1" applyFont="1" applyFill="1" applyBorder="1" applyAlignment="1">
      <alignment horizontal="right" vertical="center"/>
    </xf>
    <xf numFmtId="165" fontId="14" fillId="2" borderId="211" xfId="1426" applyNumberFormat="1" applyFont="1" applyFill="1" applyBorder="1" applyAlignment="1">
      <alignment horizontal="right" vertical="center"/>
    </xf>
    <xf numFmtId="0" fontId="14" fillId="2" borderId="31" xfId="1411" applyFont="1" applyFill="1" applyBorder="1" applyAlignment="1">
      <alignment horizontal="center" wrapText="1"/>
    </xf>
    <xf numFmtId="0" fontId="14" fillId="2" borderId="31" xfId="1415" applyFont="1" applyFill="1" applyBorder="1" applyAlignment="1">
      <alignment horizontal="center" wrapText="1"/>
    </xf>
    <xf numFmtId="167" fontId="14" fillId="2" borderId="31" xfId="1418" applyNumberFormat="1" applyFont="1" applyFill="1" applyBorder="1" applyAlignment="1">
      <alignment horizontal="right" vertical="center"/>
    </xf>
    <xf numFmtId="167" fontId="14" fillId="2" borderId="31" xfId="1419" applyNumberFormat="1" applyFont="1" applyFill="1" applyBorder="1" applyAlignment="1">
      <alignment horizontal="right" vertical="center"/>
    </xf>
    <xf numFmtId="164" fontId="14" fillId="2" borderId="31" xfId="1419" applyNumberFormat="1" applyFont="1" applyFill="1" applyBorder="1" applyAlignment="1">
      <alignment horizontal="right" vertical="center"/>
    </xf>
    <xf numFmtId="167" fontId="14" fillId="2" borderId="31" xfId="1427" applyNumberFormat="1" applyFont="1" applyFill="1" applyBorder="1" applyAlignment="1">
      <alignment horizontal="right" vertical="center"/>
    </xf>
    <xf numFmtId="167" fontId="14" fillId="2" borderId="31" xfId="1422" applyNumberFormat="1" applyFont="1" applyFill="1" applyBorder="1" applyAlignment="1">
      <alignment horizontal="right" vertical="center"/>
    </xf>
    <xf numFmtId="167" fontId="14" fillId="2" borderId="31" xfId="1428" applyNumberFormat="1" applyFont="1" applyFill="1" applyBorder="1" applyAlignment="1">
      <alignment horizontal="right" vertical="center"/>
    </xf>
    <xf numFmtId="167" fontId="14" fillId="2" borderId="31" xfId="1423" applyNumberFormat="1" applyFont="1" applyFill="1" applyBorder="1" applyAlignment="1">
      <alignment horizontal="right" vertical="center"/>
    </xf>
    <xf numFmtId="164" fontId="14" fillId="2" borderId="31" xfId="1427" applyNumberFormat="1" applyFont="1" applyFill="1" applyBorder="1" applyAlignment="1">
      <alignment horizontal="right" vertical="center"/>
    </xf>
    <xf numFmtId="170" fontId="14" fillId="2" borderId="31" xfId="1428" applyNumberFormat="1" applyFont="1" applyFill="1" applyBorder="1" applyAlignment="1">
      <alignment horizontal="right" vertical="center"/>
    </xf>
    <xf numFmtId="0" fontId="14" fillId="2" borderId="31" xfId="1429" applyFont="1" applyFill="1" applyBorder="1" applyAlignment="1">
      <alignment horizontal="right" vertical="center"/>
    </xf>
    <xf numFmtId="0" fontId="60" fillId="0" borderId="0" xfId="0" applyFont="1"/>
    <xf numFmtId="0" fontId="8" fillId="2" borderId="135" xfId="383" applyFont="1" applyFill="1" applyBorder="1" applyAlignment="1">
      <alignment horizontal="center" vertical="center" wrapText="1"/>
    </xf>
    <xf numFmtId="0" fontId="8" fillId="2" borderId="132" xfId="384" applyFont="1" applyFill="1" applyBorder="1" applyAlignment="1">
      <alignment horizontal="center" vertical="center" wrapText="1"/>
    </xf>
    <xf numFmtId="0" fontId="8" fillId="2" borderId="169" xfId="385" applyFont="1" applyFill="1" applyBorder="1" applyAlignment="1">
      <alignment horizontal="center" vertical="center" wrapText="1"/>
    </xf>
    <xf numFmtId="0" fontId="8" fillId="2" borderId="132" xfId="386" applyFont="1" applyFill="1" applyBorder="1" applyAlignment="1">
      <alignment horizontal="center" vertical="center" wrapText="1"/>
    </xf>
    <xf numFmtId="164" fontId="8" fillId="2" borderId="156" xfId="390" applyNumberFormat="1" applyFont="1" applyFill="1" applyBorder="1" applyAlignment="1">
      <alignment horizontal="right" vertical="center"/>
    </xf>
    <xf numFmtId="164" fontId="8" fillId="2" borderId="158" xfId="390" applyNumberFormat="1" applyFont="1" applyFill="1" applyBorder="1" applyAlignment="1">
      <alignment horizontal="right" vertical="center"/>
    </xf>
    <xf numFmtId="164" fontId="8" fillId="2" borderId="177" xfId="390" applyNumberFormat="1" applyFont="1" applyFill="1" applyBorder="1" applyAlignment="1">
      <alignment horizontal="right" vertical="center"/>
    </xf>
    <xf numFmtId="164" fontId="8" fillId="2" borderId="160" xfId="390" applyNumberFormat="1" applyFont="1" applyFill="1" applyBorder="1" applyAlignment="1">
      <alignment horizontal="right" vertical="center"/>
    </xf>
    <xf numFmtId="164" fontId="8" fillId="2" borderId="162" xfId="390" applyNumberFormat="1" applyFont="1" applyFill="1" applyBorder="1" applyAlignment="1">
      <alignment horizontal="right" vertical="center"/>
    </xf>
    <xf numFmtId="164" fontId="8" fillId="2" borderId="179" xfId="390" applyNumberFormat="1" applyFont="1" applyFill="1" applyBorder="1" applyAlignment="1">
      <alignment horizontal="right" vertical="center"/>
    </xf>
    <xf numFmtId="164" fontId="8" fillId="2" borderId="164" xfId="390" applyNumberFormat="1" applyFont="1" applyFill="1" applyBorder="1" applyAlignment="1">
      <alignment horizontal="right" vertical="center"/>
    </xf>
    <xf numFmtId="164" fontId="8" fillId="2" borderId="166" xfId="390" applyNumberFormat="1" applyFont="1" applyFill="1" applyBorder="1" applyAlignment="1">
      <alignment horizontal="right" vertical="center"/>
    </xf>
    <xf numFmtId="164" fontId="8" fillId="2" borderId="181" xfId="390" applyNumberFormat="1" applyFont="1" applyFill="1" applyBorder="1" applyAlignment="1">
      <alignment horizontal="right" vertical="center"/>
    </xf>
    <xf numFmtId="0" fontId="21" fillId="0" borderId="175" xfId="420" applyFont="1" applyBorder="1" applyAlignment="1">
      <alignment horizontal="center" wrapText="1"/>
    </xf>
    <xf numFmtId="167" fontId="21" fillId="0" borderId="176" xfId="450" applyNumberFormat="1" applyFont="1" applyBorder="1" applyAlignment="1">
      <alignment horizontal="right" vertical="top"/>
    </xf>
    <xf numFmtId="167" fontId="21" fillId="0" borderId="178" xfId="452" applyNumberFormat="1" applyFont="1" applyBorder="1" applyAlignment="1">
      <alignment horizontal="right" vertical="top"/>
    </xf>
    <xf numFmtId="167" fontId="21" fillId="0" borderId="180" xfId="452" applyNumberFormat="1" applyFont="1" applyBorder="1" applyAlignment="1">
      <alignment horizontal="right" vertical="top"/>
    </xf>
    <xf numFmtId="0" fontId="21" fillId="0" borderId="169" xfId="420" applyFont="1" applyBorder="1" applyAlignment="1">
      <alignment horizontal="center" wrapText="1"/>
    </xf>
    <xf numFmtId="167" fontId="21" fillId="0" borderId="177" xfId="450" applyNumberFormat="1" applyFont="1" applyBorder="1" applyAlignment="1">
      <alignment horizontal="right" vertical="top"/>
    </xf>
    <xf numFmtId="167" fontId="21" fillId="0" borderId="179" xfId="452" applyNumberFormat="1" applyFont="1" applyBorder="1" applyAlignment="1">
      <alignment horizontal="right" vertical="top"/>
    </xf>
    <xf numFmtId="167" fontId="21" fillId="0" borderId="181" xfId="452" applyNumberFormat="1" applyFont="1" applyBorder="1" applyAlignment="1">
      <alignment horizontal="right" vertical="top"/>
    </xf>
    <xf numFmtId="0" fontId="21" fillId="0" borderId="135" xfId="420" applyFont="1" applyBorder="1" applyAlignment="1">
      <alignment horizontal="center" wrapText="1"/>
    </xf>
    <xf numFmtId="167" fontId="21" fillId="0" borderId="156" xfId="450" applyNumberFormat="1" applyFont="1" applyBorder="1" applyAlignment="1">
      <alignment horizontal="right" vertical="top"/>
    </xf>
    <xf numFmtId="167" fontId="21" fillId="0" borderId="160" xfId="452" applyNumberFormat="1" applyFont="1" applyBorder="1" applyAlignment="1">
      <alignment horizontal="right" vertical="top"/>
    </xf>
    <xf numFmtId="167" fontId="21" fillId="0" borderId="164" xfId="452" applyNumberFormat="1" applyFont="1" applyBorder="1" applyAlignment="1">
      <alignment horizontal="right" vertical="top"/>
    </xf>
    <xf numFmtId="0" fontId="20" fillId="0" borderId="155" xfId="340" applyFont="1" applyBorder="1" applyAlignment="1">
      <alignment horizontal="left" vertical="center" wrapText="1"/>
    </xf>
    <xf numFmtId="0" fontId="20" fillId="0" borderId="159" xfId="342" applyFont="1" applyBorder="1" applyAlignment="1">
      <alignment horizontal="left" vertical="center" wrapText="1"/>
    </xf>
    <xf numFmtId="0" fontId="20" fillId="0" borderId="163" xfId="342" applyFont="1" applyBorder="1" applyAlignment="1">
      <alignment horizontal="left" vertical="center" wrapText="1"/>
    </xf>
    <xf numFmtId="0" fontId="20" fillId="2" borderId="169" xfId="337" applyFont="1" applyFill="1" applyBorder="1" applyAlignment="1">
      <alignment horizontal="center" wrapText="1"/>
    </xf>
    <xf numFmtId="167" fontId="20" fillId="2" borderId="177" xfId="367" applyNumberFormat="1" applyFont="1" applyFill="1" applyBorder="1" applyAlignment="1">
      <alignment horizontal="right" vertical="center"/>
    </xf>
    <xf numFmtId="167" fontId="20" fillId="2" borderId="179" xfId="369" applyNumberFormat="1" applyFont="1" applyFill="1" applyBorder="1" applyAlignment="1">
      <alignment horizontal="right" vertical="center"/>
    </xf>
    <xf numFmtId="167" fontId="20" fillId="2" borderId="181" xfId="369" applyNumberFormat="1" applyFont="1" applyFill="1" applyBorder="1" applyAlignment="1">
      <alignment horizontal="right" vertical="center"/>
    </xf>
    <xf numFmtId="0" fontId="20" fillId="2" borderId="135" xfId="336" applyFont="1" applyFill="1" applyBorder="1" applyAlignment="1">
      <alignment horizontal="center" wrapText="1"/>
    </xf>
    <xf numFmtId="167" fontId="20" fillId="2" borderId="156" xfId="366" applyNumberFormat="1" applyFont="1" applyFill="1" applyBorder="1" applyAlignment="1">
      <alignment horizontal="right" vertical="center"/>
    </xf>
    <xf numFmtId="167" fontId="20" fillId="2" borderId="160" xfId="368" applyNumberFormat="1" applyFont="1" applyFill="1" applyBorder="1" applyAlignment="1">
      <alignment horizontal="right" vertical="center"/>
    </xf>
    <xf numFmtId="167" fontId="20" fillId="2" borderId="164" xfId="368" applyNumberFormat="1" applyFont="1" applyFill="1" applyBorder="1" applyAlignment="1">
      <alignment horizontal="right" vertical="center"/>
    </xf>
    <xf numFmtId="0" fontId="20" fillId="2" borderId="175" xfId="337" applyFont="1" applyFill="1" applyBorder="1" applyAlignment="1">
      <alignment horizontal="center" wrapText="1"/>
    </xf>
    <xf numFmtId="167" fontId="20" fillId="2" borderId="176" xfId="367" applyNumberFormat="1" applyFont="1" applyFill="1" applyBorder="1" applyAlignment="1">
      <alignment horizontal="right" vertical="center"/>
    </xf>
    <xf numFmtId="167" fontId="20" fillId="2" borderId="178" xfId="369" applyNumberFormat="1" applyFont="1" applyFill="1" applyBorder="1" applyAlignment="1">
      <alignment horizontal="right" vertical="center"/>
    </xf>
    <xf numFmtId="167" fontId="20" fillId="2" borderId="180" xfId="369" applyNumberFormat="1" applyFont="1" applyFill="1" applyBorder="1" applyAlignment="1">
      <alignment horizontal="right" vertical="center"/>
    </xf>
    <xf numFmtId="0" fontId="20" fillId="2" borderId="135" xfId="337" applyFont="1" applyFill="1" applyBorder="1" applyAlignment="1">
      <alignment horizontal="center" wrapText="1"/>
    </xf>
    <xf numFmtId="167" fontId="20" fillId="2" borderId="156" xfId="367" applyNumberFormat="1" applyFont="1" applyFill="1" applyBorder="1" applyAlignment="1">
      <alignment horizontal="right" vertical="center"/>
    </xf>
    <xf numFmtId="167" fontId="20" fillId="2" borderId="160" xfId="369" applyNumberFormat="1" applyFont="1" applyFill="1" applyBorder="1" applyAlignment="1">
      <alignment horizontal="right" vertical="center"/>
    </xf>
    <xf numFmtId="167" fontId="20" fillId="2" borderId="164" xfId="369" applyNumberFormat="1" applyFont="1" applyFill="1" applyBorder="1" applyAlignment="1">
      <alignment horizontal="right" vertical="center"/>
    </xf>
    <xf numFmtId="0" fontId="21" fillId="2" borderId="187" xfId="301" applyFont="1" applyFill="1" applyBorder="1" applyAlignment="1">
      <alignment horizontal="center" wrapText="1"/>
    </xf>
    <xf numFmtId="164" fontId="21" fillId="2" borderId="212" xfId="307" applyNumberFormat="1" applyFont="1" applyFill="1" applyBorder="1" applyAlignment="1">
      <alignment horizontal="right" vertical="top"/>
    </xf>
    <xf numFmtId="164" fontId="21" fillId="2" borderId="178" xfId="307" applyNumberFormat="1" applyFont="1" applyFill="1" applyBorder="1" applyAlignment="1">
      <alignment horizontal="right" vertical="top"/>
    </xf>
    <xf numFmtId="164" fontId="21" fillId="2" borderId="180" xfId="307" applyNumberFormat="1" applyFont="1" applyFill="1" applyBorder="1" applyAlignment="1">
      <alignment horizontal="right" vertical="top"/>
    </xf>
    <xf numFmtId="0" fontId="21" fillId="2" borderId="188" xfId="302" applyFont="1" applyFill="1" applyBorder="1" applyAlignment="1">
      <alignment horizontal="center" wrapText="1"/>
    </xf>
    <xf numFmtId="164" fontId="21" fillId="2" borderId="213" xfId="307" applyNumberFormat="1" applyFont="1" applyFill="1" applyBorder="1" applyAlignment="1">
      <alignment horizontal="right" vertical="top"/>
    </xf>
    <xf numFmtId="164" fontId="21" fillId="2" borderId="179" xfId="307" applyNumberFormat="1" applyFont="1" applyFill="1" applyBorder="1" applyAlignment="1">
      <alignment horizontal="right" vertical="top"/>
    </xf>
    <xf numFmtId="164" fontId="21" fillId="2" borderId="181" xfId="307" applyNumberFormat="1" applyFont="1" applyFill="1" applyBorder="1" applyAlignment="1">
      <alignment horizontal="right" vertical="top"/>
    </xf>
    <xf numFmtId="0" fontId="21" fillId="2" borderId="65" xfId="302" applyFont="1" applyFill="1" applyBorder="1" applyAlignment="1">
      <alignment horizontal="center" wrapText="1"/>
    </xf>
    <xf numFmtId="0" fontId="21" fillId="2" borderId="59" xfId="301" applyFont="1" applyFill="1" applyBorder="1" applyAlignment="1">
      <alignment horizontal="center" wrapText="1"/>
    </xf>
    <xf numFmtId="0" fontId="20" fillId="0" borderId="175" xfId="0" applyFont="1" applyBorder="1" applyAlignment="1">
      <alignment horizontal="right" vertical="center" wrapText="1"/>
    </xf>
    <xf numFmtId="0" fontId="20" fillId="0" borderId="176" xfId="0" applyFont="1" applyBorder="1" applyAlignment="1">
      <alignment horizontal="right" vertical="center" wrapText="1"/>
    </xf>
    <xf numFmtId="0" fontId="20" fillId="0" borderId="178" xfId="0" applyFont="1" applyBorder="1" applyAlignment="1">
      <alignment horizontal="right" vertical="center" wrapText="1"/>
    </xf>
    <xf numFmtId="0" fontId="20" fillId="0" borderId="180" xfId="0" applyFont="1" applyBorder="1" applyAlignment="1">
      <alignment horizontal="right" vertical="center" wrapText="1"/>
    </xf>
    <xf numFmtId="0" fontId="9" fillId="2" borderId="175" xfId="218" applyFont="1" applyFill="1" applyBorder="1" applyAlignment="1">
      <alignment horizontal="center" wrapText="1"/>
    </xf>
    <xf numFmtId="167" fontId="9" fillId="10" borderId="176" xfId="0" applyNumberFormat="1" applyFont="1" applyFill="1" applyBorder="1" applyAlignment="1">
      <alignment vertical="center"/>
    </xf>
    <xf numFmtId="167" fontId="9" fillId="10" borderId="178" xfId="0" applyNumberFormat="1" applyFont="1" applyFill="1" applyBorder="1" applyAlignment="1">
      <alignment vertical="center"/>
    </xf>
    <xf numFmtId="167" fontId="9" fillId="10" borderId="180" xfId="0" applyNumberFormat="1" applyFont="1" applyFill="1" applyBorder="1" applyAlignment="1">
      <alignment vertical="center"/>
    </xf>
    <xf numFmtId="0" fontId="9" fillId="2" borderId="135" xfId="219" applyFont="1" applyFill="1" applyBorder="1" applyAlignment="1">
      <alignment horizontal="center" wrapText="1"/>
    </xf>
    <xf numFmtId="0" fontId="28" fillId="0" borderId="176" xfId="0" applyFont="1" applyBorder="1" applyAlignment="1">
      <alignment horizontal="right" vertical="center" wrapText="1"/>
    </xf>
    <xf numFmtId="0" fontId="28" fillId="0" borderId="178" xfId="0" applyFont="1" applyBorder="1" applyAlignment="1">
      <alignment horizontal="right" vertical="center" wrapText="1"/>
    </xf>
    <xf numFmtId="0" fontId="20" fillId="0" borderId="169" xfId="0" applyFont="1" applyBorder="1" applyAlignment="1">
      <alignment horizontal="right" vertical="center" wrapText="1"/>
    </xf>
    <xf numFmtId="0" fontId="28" fillId="0" borderId="177" xfId="0" applyFont="1" applyBorder="1" applyAlignment="1">
      <alignment horizontal="right" vertical="center" wrapText="1"/>
    </xf>
    <xf numFmtId="0" fontId="28" fillId="0" borderId="179" xfId="0" applyFont="1" applyBorder="1" applyAlignment="1">
      <alignment horizontal="right" vertical="center" wrapText="1"/>
    </xf>
    <xf numFmtId="0" fontId="8" fillId="2" borderId="175" xfId="135" applyFont="1" applyFill="1" applyBorder="1" applyAlignment="1">
      <alignment horizontal="center" wrapText="1"/>
    </xf>
    <xf numFmtId="164" fontId="3" fillId="2" borderId="176" xfId="141" applyNumberFormat="1" applyFont="1" applyFill="1" applyBorder="1" applyAlignment="1">
      <alignment horizontal="right" vertical="top"/>
    </xf>
    <xf numFmtId="164" fontId="3" fillId="0" borderId="178" xfId="141" applyNumberFormat="1" applyFont="1" applyBorder="1" applyAlignment="1">
      <alignment horizontal="right" vertical="top"/>
    </xf>
    <xf numFmtId="164" fontId="8" fillId="2" borderId="178" xfId="141" applyNumberFormat="1" applyFont="1" applyFill="1" applyBorder="1" applyAlignment="1">
      <alignment horizontal="right" vertical="top"/>
    </xf>
    <xf numFmtId="164" fontId="3" fillId="2" borderId="178" xfId="141" applyNumberFormat="1" applyFont="1" applyFill="1" applyBorder="1" applyAlignment="1">
      <alignment horizontal="right" vertical="top"/>
    </xf>
    <xf numFmtId="164" fontId="3" fillId="2" borderId="180" xfId="141" applyNumberFormat="1" applyFont="1" applyFill="1" applyBorder="1" applyAlignment="1">
      <alignment horizontal="right" vertical="top"/>
    </xf>
    <xf numFmtId="0" fontId="8" fillId="2" borderId="169" xfId="136" applyFont="1" applyFill="1" applyBorder="1" applyAlignment="1">
      <alignment horizontal="center" wrapText="1"/>
    </xf>
    <xf numFmtId="164" fontId="3" fillId="2" borderId="177" xfId="141" applyNumberFormat="1" applyFont="1" applyFill="1" applyBorder="1" applyAlignment="1">
      <alignment horizontal="right" vertical="top"/>
    </xf>
    <xf numFmtId="164" fontId="3" fillId="0" borderId="179" xfId="141" applyNumberFormat="1" applyFont="1" applyBorder="1" applyAlignment="1">
      <alignment horizontal="right" vertical="top"/>
    </xf>
    <xf numFmtId="164" fontId="8" fillId="2" borderId="179" xfId="141" applyNumberFormat="1" applyFont="1" applyFill="1" applyBorder="1" applyAlignment="1">
      <alignment horizontal="right" vertical="top"/>
    </xf>
    <xf numFmtId="164" fontId="3" fillId="2" borderId="179" xfId="141" applyNumberFormat="1" applyFont="1" applyFill="1" applyBorder="1" applyAlignment="1">
      <alignment horizontal="right" vertical="top"/>
    </xf>
    <xf numFmtId="164" fontId="3" fillId="2" borderId="181" xfId="141" applyNumberFormat="1" applyFont="1" applyFill="1" applyBorder="1" applyAlignment="1">
      <alignment horizontal="right" vertical="top"/>
    </xf>
    <xf numFmtId="0" fontId="8" fillId="2" borderId="135" xfId="136" applyFont="1" applyFill="1" applyBorder="1" applyAlignment="1">
      <alignment horizontal="center" wrapText="1"/>
    </xf>
    <xf numFmtId="0" fontId="8" fillId="2" borderId="132" xfId="135" applyFont="1" applyFill="1" applyBorder="1" applyAlignment="1">
      <alignment horizontal="center" wrapText="1"/>
    </xf>
    <xf numFmtId="0" fontId="20" fillId="2" borderId="196" xfId="6" applyFont="1" applyFill="1" applyBorder="1" applyAlignment="1">
      <alignment horizontal="center" wrapText="1"/>
    </xf>
    <xf numFmtId="0" fontId="20" fillId="2" borderId="198" xfId="7" applyFont="1" applyFill="1" applyBorder="1" applyAlignment="1">
      <alignment horizontal="center" wrapText="1"/>
    </xf>
    <xf numFmtId="0" fontId="20" fillId="2" borderId="197" xfId="8" applyFont="1" applyFill="1" applyBorder="1" applyAlignment="1">
      <alignment horizontal="center" wrapText="1"/>
    </xf>
    <xf numFmtId="0" fontId="20" fillId="0" borderId="155" xfId="0" applyFont="1" applyBorder="1"/>
    <xf numFmtId="167" fontId="20" fillId="0" borderId="156" xfId="0" applyNumberFormat="1" applyFont="1" applyBorder="1"/>
    <xf numFmtId="167" fontId="20" fillId="0" borderId="157" xfId="0" applyNumberFormat="1" applyFont="1" applyBorder="1"/>
    <xf numFmtId="167" fontId="20" fillId="0" borderId="158" xfId="0" applyNumberFormat="1" applyFont="1" applyBorder="1"/>
    <xf numFmtId="0" fontId="20" fillId="0" borderId="159" xfId="0" applyFont="1" applyBorder="1"/>
    <xf numFmtId="167" fontId="20" fillId="0" borderId="160" xfId="0" applyNumberFormat="1" applyFont="1" applyBorder="1"/>
    <xf numFmtId="167" fontId="20" fillId="0" borderId="161" xfId="0" applyNumberFormat="1" applyFont="1" applyBorder="1"/>
    <xf numFmtId="167" fontId="20" fillId="0" borderId="162" xfId="0" applyNumberFormat="1" applyFont="1" applyBorder="1"/>
    <xf numFmtId="0" fontId="20" fillId="0" borderId="163" xfId="0" applyFont="1" applyBorder="1"/>
    <xf numFmtId="167" fontId="20" fillId="0" borderId="164" xfId="0" applyNumberFormat="1" applyFont="1" applyBorder="1"/>
    <xf numFmtId="167" fontId="20" fillId="0" borderId="165" xfId="0" applyNumberFormat="1" applyFont="1" applyBorder="1"/>
    <xf numFmtId="167" fontId="20" fillId="0" borderId="166" xfId="0" applyNumberFormat="1" applyFont="1" applyBorder="1"/>
    <xf numFmtId="0" fontId="9" fillId="2" borderId="155" xfId="1179" applyBorder="1" applyAlignment="1">
      <alignment horizontal="center" vertical="center"/>
    </xf>
    <xf numFmtId="49" fontId="9" fillId="2" borderId="163" xfId="1179" applyNumberFormat="1" applyBorder="1" applyAlignment="1">
      <alignment horizontal="center" vertical="center"/>
    </xf>
    <xf numFmtId="0" fontId="2" fillId="2" borderId="119" xfId="582" applyFont="1" applyFill="1" applyBorder="1" applyAlignment="1">
      <alignment horizontal="center" wrapText="1"/>
    </xf>
    <xf numFmtId="0" fontId="2" fillId="2" borderId="119" xfId="581" applyFont="1" applyFill="1" applyBorder="1" applyAlignment="1">
      <alignment horizontal="center" wrapText="1"/>
    </xf>
    <xf numFmtId="0" fontId="2" fillId="2" borderId="51" xfId="607" applyFont="1" applyFill="1" applyBorder="1" applyAlignment="1">
      <alignment horizontal="left" wrapText="1"/>
    </xf>
    <xf numFmtId="0" fontId="2" fillId="2" borderId="51" xfId="611" applyFont="1" applyFill="1" applyBorder="1" applyAlignment="1">
      <alignment horizontal="center" wrapText="1"/>
    </xf>
    <xf numFmtId="0" fontId="2" fillId="2" borderId="51" xfId="610" applyFont="1" applyFill="1" applyBorder="1" applyAlignment="1">
      <alignment horizontal="center" wrapText="1"/>
    </xf>
    <xf numFmtId="0" fontId="51" fillId="0" borderId="0" xfId="1406" applyFill="1" applyBorder="1" applyAlignment="1">
      <alignment vertical="center"/>
    </xf>
    <xf numFmtId="0" fontId="2" fillId="2" borderId="175" xfId="578" applyFont="1" applyFill="1" applyBorder="1" applyAlignment="1">
      <alignment horizontal="left" wrapText="1"/>
    </xf>
    <xf numFmtId="0" fontId="8" fillId="0" borderId="135" xfId="617" applyFont="1" applyBorder="1" applyAlignment="1">
      <alignment horizontal="center" vertical="center" wrapText="1"/>
    </xf>
    <xf numFmtId="0" fontId="8" fillId="0" borderId="132" xfId="616" applyFont="1" applyBorder="1" applyAlignment="1">
      <alignment horizontal="center" vertical="center" wrapText="1"/>
    </xf>
    <xf numFmtId="0" fontId="8" fillId="0" borderId="135" xfId="615" applyFont="1" applyBorder="1" applyAlignment="1">
      <alignment horizontal="center" vertical="center" wrapText="1"/>
    </xf>
    <xf numFmtId="0" fontId="8" fillId="0" borderId="132" xfId="614" applyFont="1" applyBorder="1" applyAlignment="1">
      <alignment horizontal="center" vertical="center" wrapText="1"/>
    </xf>
    <xf numFmtId="0" fontId="8" fillId="0" borderId="31" xfId="614" applyFont="1" applyBorder="1" applyAlignment="1">
      <alignment horizontal="center" vertical="center" wrapText="1"/>
    </xf>
    <xf numFmtId="0" fontId="8" fillId="0" borderId="31" xfId="615" applyFont="1" applyBorder="1" applyAlignment="1">
      <alignment horizontal="center" vertical="center" wrapText="1"/>
    </xf>
    <xf numFmtId="0" fontId="8" fillId="0" borderId="31" xfId="616" applyFont="1" applyBorder="1" applyAlignment="1">
      <alignment horizontal="center" vertical="center" wrapText="1"/>
    </xf>
    <xf numFmtId="0" fontId="8" fillId="0" borderId="31" xfId="617" applyFont="1" applyBorder="1" applyAlignment="1">
      <alignment horizontal="center" vertical="center" wrapText="1"/>
    </xf>
    <xf numFmtId="0" fontId="52" fillId="0" borderId="31" xfId="0" applyFont="1" applyBorder="1" applyAlignment="1">
      <alignment horizontal="left" vertical="center"/>
    </xf>
    <xf numFmtId="164" fontId="8" fillId="0" borderId="31" xfId="620" applyNumberFormat="1" applyFont="1" applyBorder="1" applyAlignment="1">
      <alignment horizontal="right" vertical="center"/>
    </xf>
    <xf numFmtId="0" fontId="8" fillId="0" borderId="31" xfId="607" applyFont="1" applyBorder="1" applyAlignment="1">
      <alignment vertical="center" wrapText="1"/>
    </xf>
    <xf numFmtId="0" fontId="8" fillId="0" borderId="31" xfId="611" applyFont="1" applyBorder="1" applyAlignment="1">
      <alignment vertical="center" wrapText="1"/>
    </xf>
    <xf numFmtId="0" fontId="8" fillId="0" borderId="31" xfId="610" applyFont="1" applyBorder="1" applyAlignment="1">
      <alignment vertical="center" wrapText="1"/>
    </xf>
    <xf numFmtId="0" fontId="8" fillId="0" borderId="31" xfId="613" applyFont="1" applyBorder="1" applyAlignment="1">
      <alignment vertical="center" wrapText="1"/>
    </xf>
    <xf numFmtId="0" fontId="8" fillId="0" borderId="31" xfId="608" applyFont="1" applyBorder="1" applyAlignment="1">
      <alignment vertical="center" wrapText="1"/>
    </xf>
    <xf numFmtId="0" fontId="21" fillId="2" borderId="31" xfId="512" applyFont="1" applyFill="1" applyBorder="1" applyAlignment="1">
      <alignment horizontal="center" vertical="center" wrapText="1"/>
    </xf>
    <xf numFmtId="0" fontId="21" fillId="2" borderId="31" xfId="511" applyFont="1" applyFill="1" applyBorder="1" applyAlignment="1">
      <alignment horizontal="center" vertical="center" wrapText="1"/>
    </xf>
    <xf numFmtId="167" fontId="21" fillId="2" borderId="31" xfId="543" applyNumberFormat="1" applyFont="1" applyFill="1" applyBorder="1" applyAlignment="1">
      <alignment horizontal="center" vertical="center"/>
    </xf>
    <xf numFmtId="167" fontId="4" fillId="0" borderId="31" xfId="0" applyNumberFormat="1" applyFont="1" applyBorder="1" applyAlignment="1">
      <alignment horizontal="center" vertical="center"/>
    </xf>
    <xf numFmtId="167" fontId="21" fillId="2" borderId="31" xfId="544" applyNumberFormat="1" applyFont="1" applyFill="1" applyBorder="1" applyAlignment="1">
      <alignment horizontal="center" vertical="center"/>
    </xf>
    <xf numFmtId="0" fontId="21" fillId="2" borderId="132" xfId="511" applyFont="1" applyFill="1" applyBorder="1" applyAlignment="1">
      <alignment horizontal="center" vertical="center" wrapText="1"/>
    </xf>
    <xf numFmtId="0" fontId="21" fillId="0" borderId="31" xfId="1303" applyFont="1" applyFill="1" applyBorder="1" applyAlignment="1">
      <alignment horizontal="center" vertical="center" wrapText="1"/>
    </xf>
    <xf numFmtId="0" fontId="21" fillId="0" borderId="31" xfId="1302" applyFont="1" applyFill="1" applyBorder="1" applyAlignment="1">
      <alignment horizontal="center" vertical="center" wrapText="1"/>
    </xf>
    <xf numFmtId="167" fontId="21" fillId="0" borderId="31" xfId="1313" applyNumberFormat="1" applyFont="1" applyFill="1" applyBorder="1" applyAlignment="1">
      <alignment horizontal="center" vertical="center"/>
    </xf>
    <xf numFmtId="0" fontId="8" fillId="0" borderId="135" xfId="1034" applyFont="1" applyFill="1" applyBorder="1" applyAlignment="1">
      <alignment horizontal="right" wrapText="1"/>
    </xf>
    <xf numFmtId="0" fontId="8" fillId="0" borderId="132" xfId="1035" applyFont="1" applyFill="1" applyBorder="1" applyAlignment="1">
      <alignment horizontal="right" wrapText="1"/>
    </xf>
    <xf numFmtId="0" fontId="8" fillId="0" borderId="169" xfId="1036" applyFont="1" applyFill="1" applyBorder="1" applyAlignment="1">
      <alignment horizontal="right" wrapText="1"/>
    </xf>
    <xf numFmtId="0" fontId="8" fillId="0" borderId="132" xfId="1037" applyFont="1" applyFill="1" applyBorder="1" applyAlignment="1">
      <alignment horizontal="right" wrapText="1"/>
    </xf>
    <xf numFmtId="0" fontId="8" fillId="0" borderId="155" xfId="1038" applyFont="1" applyFill="1" applyBorder="1" applyAlignment="1">
      <alignment horizontal="left" vertical="top" wrapText="1"/>
    </xf>
    <xf numFmtId="167" fontId="8" fillId="0" borderId="156" xfId="1039" applyNumberFormat="1" applyFont="1" applyFill="1" applyBorder="1" applyAlignment="1">
      <alignment horizontal="right" vertical="top"/>
    </xf>
    <xf numFmtId="167" fontId="8" fillId="0" borderId="158" xfId="1040" applyNumberFormat="1" applyFont="1" applyFill="1" applyBorder="1" applyAlignment="1">
      <alignment horizontal="right" vertical="top"/>
    </xf>
    <xf numFmtId="167" fontId="8" fillId="0" borderId="177" xfId="1041" applyNumberFormat="1" applyFont="1" applyFill="1" applyBorder="1" applyAlignment="1">
      <alignment horizontal="right" vertical="top"/>
    </xf>
    <xf numFmtId="167" fontId="8" fillId="0" borderId="158" xfId="1042" applyNumberFormat="1" applyFont="1" applyFill="1" applyBorder="1" applyAlignment="1">
      <alignment horizontal="right" vertical="top"/>
    </xf>
    <xf numFmtId="0" fontId="8" fillId="0" borderId="159" xfId="1024" applyFont="1" applyFill="1" applyBorder="1" applyAlignment="1">
      <alignment horizontal="left" vertical="top" wrapText="1"/>
    </xf>
    <xf numFmtId="167" fontId="8" fillId="0" borderId="160" xfId="1043" applyNumberFormat="1" applyFont="1" applyFill="1" applyBorder="1" applyAlignment="1">
      <alignment horizontal="right" vertical="top"/>
    </xf>
    <xf numFmtId="167" fontId="8" fillId="0" borderId="162" xfId="1044" applyNumberFormat="1" applyFont="1" applyFill="1" applyBorder="1" applyAlignment="1">
      <alignment horizontal="right" vertical="top"/>
    </xf>
    <xf numFmtId="167" fontId="8" fillId="0" borderId="179" xfId="1045" applyNumberFormat="1" applyFont="1" applyFill="1" applyBorder="1" applyAlignment="1">
      <alignment horizontal="right" vertical="top"/>
    </xf>
    <xf numFmtId="167" fontId="8" fillId="0" borderId="162" xfId="1046" applyNumberFormat="1" applyFont="1" applyFill="1" applyBorder="1" applyAlignment="1">
      <alignment horizontal="right" vertical="top"/>
    </xf>
    <xf numFmtId="0" fontId="8" fillId="0" borderId="163" xfId="1027" applyFont="1" applyFill="1" applyBorder="1" applyAlignment="1">
      <alignment horizontal="left" vertical="top" wrapText="1"/>
    </xf>
    <xf numFmtId="167" fontId="8" fillId="0" borderId="164" xfId="1047" applyNumberFormat="1" applyFont="1" applyFill="1" applyBorder="1" applyAlignment="1">
      <alignment horizontal="right" vertical="top"/>
    </xf>
    <xf numFmtId="167" fontId="8" fillId="0" borderId="166" xfId="1048" applyNumberFormat="1" applyFont="1" applyFill="1" applyBorder="1" applyAlignment="1">
      <alignment horizontal="right" vertical="top"/>
    </xf>
    <xf numFmtId="167" fontId="8" fillId="0" borderId="181" xfId="1049" applyNumberFormat="1" applyFont="1" applyFill="1" applyBorder="1" applyAlignment="1">
      <alignment horizontal="right" vertical="top"/>
    </xf>
    <xf numFmtId="167" fontId="8" fillId="0" borderId="166" xfId="1050" applyNumberFormat="1" applyFont="1" applyFill="1" applyBorder="1" applyAlignment="1">
      <alignment horizontal="right" vertical="top"/>
    </xf>
    <xf numFmtId="0" fontId="8" fillId="2" borderId="197" xfId="739" applyFont="1" applyBorder="1" applyAlignment="1">
      <alignment horizontal="right" vertical="center" wrapText="1"/>
    </xf>
    <xf numFmtId="0" fontId="2" fillId="2" borderId="216" xfId="668" applyFont="1" applyBorder="1" applyAlignment="1">
      <alignment horizontal="center" vertical="center" wrapText="1"/>
    </xf>
    <xf numFmtId="0" fontId="2" fillId="2" borderId="217" xfId="669" applyFont="1" applyBorder="1" applyAlignment="1">
      <alignment horizontal="center" vertical="center" wrapText="1"/>
    </xf>
    <xf numFmtId="0" fontId="2" fillId="8" borderId="219" xfId="671" applyFont="1" applyFill="1" applyBorder="1" applyAlignment="1">
      <alignment horizontal="left" vertical="center" wrapText="1"/>
    </xf>
    <xf numFmtId="164" fontId="3" fillId="2" borderId="220" xfId="673" applyNumberFormat="1" applyFont="1" applyBorder="1" applyAlignment="1">
      <alignment horizontal="right" vertical="center"/>
    </xf>
    <xf numFmtId="164" fontId="3" fillId="2" borderId="221" xfId="674" applyNumberFormat="1" applyFont="1" applyBorder="1" applyAlignment="1">
      <alignment horizontal="right" vertical="center"/>
    </xf>
    <xf numFmtId="0" fontId="2" fillId="8" borderId="223" xfId="676" applyFont="1" applyFill="1" applyBorder="1" applyAlignment="1">
      <alignment horizontal="left" vertical="center" wrapText="1"/>
    </xf>
    <xf numFmtId="164" fontId="3" fillId="2" borderId="224" xfId="678" applyNumberFormat="1" applyFont="1" applyBorder="1" applyAlignment="1">
      <alignment horizontal="right" vertical="center"/>
    </xf>
    <xf numFmtId="164" fontId="3" fillId="2" borderId="225" xfId="679" applyNumberFormat="1" applyFont="1" applyBorder="1" applyAlignment="1">
      <alignment horizontal="right" vertical="center"/>
    </xf>
    <xf numFmtId="20" fontId="20" fillId="0" borderId="156" xfId="0" quotePrefix="1" applyNumberFormat="1" applyFont="1" applyBorder="1" applyAlignment="1">
      <alignment horizontal="right" vertical="center"/>
    </xf>
    <xf numFmtId="20" fontId="20" fillId="0" borderId="157" xfId="0" quotePrefix="1" applyNumberFormat="1" applyFont="1" applyBorder="1" applyAlignment="1">
      <alignment horizontal="right" vertical="center"/>
    </xf>
    <xf numFmtId="20" fontId="20" fillId="0" borderId="158" xfId="0" quotePrefix="1" applyNumberFormat="1" applyFont="1" applyBorder="1" applyAlignment="1">
      <alignment horizontal="right" vertical="center"/>
    </xf>
    <xf numFmtId="20" fontId="20" fillId="0" borderId="170" xfId="0" quotePrefix="1" applyNumberFormat="1" applyFont="1" applyBorder="1" applyAlignment="1">
      <alignment horizontal="right" vertical="center" wrapText="1"/>
    </xf>
    <xf numFmtId="20" fontId="20" fillId="0" borderId="226" xfId="0" quotePrefix="1" applyNumberFormat="1" applyFont="1" applyBorder="1" applyAlignment="1">
      <alignment horizontal="right" vertical="center" wrapText="1"/>
    </xf>
    <xf numFmtId="20" fontId="20" fillId="0" borderId="171" xfId="0" quotePrefix="1" applyNumberFormat="1" applyFont="1" applyBorder="1" applyAlignment="1">
      <alignment horizontal="right" vertical="center" wrapText="1"/>
    </xf>
    <xf numFmtId="20" fontId="20" fillId="0" borderId="189" xfId="0" quotePrefix="1" applyNumberFormat="1" applyFont="1" applyBorder="1" applyAlignment="1">
      <alignment horizontal="right" vertical="center" wrapText="1"/>
    </xf>
    <xf numFmtId="20" fontId="20" fillId="0" borderId="201" xfId="0" quotePrefix="1" applyNumberFormat="1" applyFont="1" applyBorder="1" applyAlignment="1">
      <alignment horizontal="right" vertical="center" wrapText="1"/>
    </xf>
    <xf numFmtId="20" fontId="20" fillId="0" borderId="190" xfId="0" quotePrefix="1" applyNumberFormat="1" applyFont="1" applyBorder="1" applyAlignment="1">
      <alignment horizontal="right" vertical="center" wrapText="1"/>
    </xf>
    <xf numFmtId="20" fontId="20" fillId="0" borderId="170" xfId="0" quotePrefix="1" applyNumberFormat="1" applyFont="1" applyBorder="1" applyAlignment="1">
      <alignment horizontal="right" vertical="center"/>
    </xf>
    <xf numFmtId="20" fontId="20" fillId="0" borderId="226" xfId="0" quotePrefix="1" applyNumberFormat="1" applyFont="1" applyBorder="1" applyAlignment="1">
      <alignment horizontal="right" vertical="center"/>
    </xf>
    <xf numFmtId="20" fontId="20" fillId="0" borderId="171" xfId="0" quotePrefix="1" applyNumberFormat="1" applyFont="1" applyBorder="1" applyAlignment="1">
      <alignment horizontal="right" vertical="center"/>
    </xf>
    <xf numFmtId="0" fontId="44" fillId="0" borderId="170" xfId="0" applyFont="1" applyBorder="1" applyAlignment="1">
      <alignment horizontal="right" vertical="center" wrapText="1"/>
    </xf>
    <xf numFmtId="0" fontId="44" fillId="0" borderId="226" xfId="0" applyFont="1" applyBorder="1" applyAlignment="1">
      <alignment horizontal="right" vertical="center" wrapText="1"/>
    </xf>
    <xf numFmtId="0" fontId="44" fillId="0" borderId="171" xfId="0" applyFont="1" applyBorder="1" applyAlignment="1">
      <alignment horizontal="right" vertical="center" wrapText="1"/>
    </xf>
    <xf numFmtId="0" fontId="44" fillId="0" borderId="189" xfId="0" applyFont="1" applyBorder="1" applyAlignment="1">
      <alignment horizontal="right" vertical="center" wrapText="1"/>
    </xf>
    <xf numFmtId="0" fontId="44" fillId="0" borderId="201" xfId="0" applyFont="1" applyBorder="1" applyAlignment="1">
      <alignment horizontal="right" vertical="center" wrapText="1"/>
    </xf>
    <xf numFmtId="0" fontId="44" fillId="0" borderId="190" xfId="0" applyFont="1" applyBorder="1" applyAlignment="1">
      <alignment horizontal="right" vertical="center" wrapText="1"/>
    </xf>
    <xf numFmtId="20" fontId="20" fillId="0" borderId="156" xfId="0" quotePrefix="1" applyNumberFormat="1" applyFont="1" applyBorder="1" applyAlignment="1">
      <alignment horizontal="right" vertical="center" wrapText="1"/>
    </xf>
    <xf numFmtId="20" fontId="20" fillId="0" borderId="157" xfId="0" quotePrefix="1" applyNumberFormat="1" applyFont="1" applyBorder="1" applyAlignment="1">
      <alignment horizontal="right" vertical="center" wrapText="1"/>
    </xf>
    <xf numFmtId="20" fontId="20" fillId="0" borderId="158" xfId="0" quotePrefix="1" applyNumberFormat="1" applyFont="1" applyBorder="1" applyAlignment="1">
      <alignment horizontal="right" vertical="center" wrapText="1"/>
    </xf>
    <xf numFmtId="0" fontId="20" fillId="0" borderId="114" xfId="0" applyFont="1" applyBorder="1" applyAlignment="1">
      <alignment vertical="center" wrapText="1"/>
    </xf>
    <xf numFmtId="0" fontId="20" fillId="0" borderId="110" xfId="0" applyFont="1" applyBorder="1" applyAlignment="1">
      <alignment vertical="center" wrapText="1"/>
    </xf>
    <xf numFmtId="2" fontId="0" fillId="0" borderId="174" xfId="0" applyNumberFormat="1" applyBorder="1" applyAlignment="1">
      <alignment horizontal="center" vertical="center"/>
    </xf>
    <xf numFmtId="2" fontId="0" fillId="0" borderId="172" xfId="0" applyNumberFormat="1" applyBorder="1" applyAlignment="1">
      <alignment horizontal="center" vertical="center"/>
    </xf>
    <xf numFmtId="0" fontId="0" fillId="0" borderId="189" xfId="0" applyBorder="1" applyAlignment="1">
      <alignment horizontal="center" vertical="center"/>
    </xf>
    <xf numFmtId="0" fontId="0" fillId="0" borderId="190" xfId="0" applyBorder="1" applyAlignment="1">
      <alignment horizontal="center" vertical="center"/>
    </xf>
    <xf numFmtId="0" fontId="2" fillId="2" borderId="114" xfId="990" applyFont="1" applyBorder="1" applyAlignment="1">
      <alignment wrapText="1"/>
    </xf>
    <xf numFmtId="0" fontId="2" fillId="0" borderId="110" xfId="991" applyFont="1" applyFill="1" applyBorder="1" applyAlignment="1">
      <alignment wrapText="1"/>
    </xf>
    <xf numFmtId="0" fontId="2" fillId="0" borderId="227" xfId="885" applyFont="1" applyFill="1" applyBorder="1" applyAlignment="1">
      <alignment horizontal="left" wrapText="1"/>
    </xf>
    <xf numFmtId="0" fontId="21" fillId="2" borderId="87" xfId="1221" applyFont="1" applyBorder="1" applyAlignment="1">
      <alignment wrapText="1"/>
    </xf>
    <xf numFmtId="0" fontId="21" fillId="2" borderId="88" xfId="1227" applyFont="1" applyBorder="1" applyAlignment="1">
      <alignment horizontal="center" vertical="center" wrapText="1"/>
    </xf>
    <xf numFmtId="0" fontId="21" fillId="2" borderId="228" xfId="1223" applyFont="1" applyBorder="1" applyAlignment="1">
      <alignment horizontal="left" vertical="center" wrapText="1"/>
    </xf>
    <xf numFmtId="0" fontId="21" fillId="2" borderId="228" xfId="1225" applyFont="1" applyBorder="1" applyAlignment="1">
      <alignment horizontal="left" vertical="center" wrapText="1"/>
    </xf>
    <xf numFmtId="0" fontId="21" fillId="2" borderId="65" xfId="1225" applyFont="1" applyBorder="1" applyAlignment="1">
      <alignment horizontal="left" vertical="center" wrapText="1"/>
    </xf>
    <xf numFmtId="0" fontId="21" fillId="2" borderId="117" xfId="1223" applyFont="1" applyBorder="1" applyAlignment="1">
      <alignment horizontal="left" vertical="center" wrapText="1"/>
    </xf>
    <xf numFmtId="0" fontId="21" fillId="2" borderId="139" xfId="1229" applyFont="1" applyBorder="1" applyAlignment="1">
      <alignment horizontal="left" vertical="center" wrapText="1"/>
    </xf>
    <xf numFmtId="0" fontId="21" fillId="2" borderId="119" xfId="1230" applyFont="1" applyBorder="1" applyAlignment="1">
      <alignment horizontal="left" vertical="center" wrapText="1"/>
    </xf>
    <xf numFmtId="0" fontId="21" fillId="2" borderId="119" xfId="1229" applyFont="1" applyBorder="1" applyAlignment="1">
      <alignment horizontal="left" vertical="center" wrapText="1"/>
    </xf>
    <xf numFmtId="0" fontId="21" fillId="2" borderId="187" xfId="1230" applyFont="1" applyBorder="1" applyAlignment="1">
      <alignment horizontal="left" vertical="center" wrapText="1"/>
    </xf>
    <xf numFmtId="0" fontId="21" fillId="0" borderId="114" xfId="1240" applyFont="1" applyFill="1" applyBorder="1" applyAlignment="1">
      <alignment horizontal="center" vertical="center" wrapText="1"/>
    </xf>
    <xf numFmtId="164" fontId="21" fillId="2" borderId="138" xfId="1242" applyNumberFormat="1" applyFont="1" applyBorder="1" applyAlignment="1">
      <alignment horizontal="center" vertical="center"/>
    </xf>
    <xf numFmtId="164" fontId="21" fillId="2" borderId="229" xfId="1242" applyNumberFormat="1" applyFont="1" applyBorder="1" applyAlignment="1">
      <alignment horizontal="center" vertical="center"/>
    </xf>
    <xf numFmtId="164" fontId="21" fillId="2" borderId="230" xfId="1242" applyNumberFormat="1" applyFont="1" applyBorder="1" applyAlignment="1">
      <alignment horizontal="center" vertical="center"/>
    </xf>
    <xf numFmtId="0" fontId="2" fillId="2" borderId="227" xfId="758" applyFont="1" applyBorder="1" applyAlignment="1">
      <alignment horizontal="left" wrapText="1"/>
    </xf>
    <xf numFmtId="0" fontId="8" fillId="0" borderId="155" xfId="0" applyFont="1" applyBorder="1" applyAlignment="1">
      <alignment horizontal="left" vertical="center"/>
    </xf>
    <xf numFmtId="0" fontId="8" fillId="0" borderId="163" xfId="0" applyFont="1" applyBorder="1" applyAlignment="1">
      <alignment horizontal="left" vertical="center"/>
    </xf>
    <xf numFmtId="0" fontId="8" fillId="2" borderId="135" xfId="1382" applyFont="1" applyFill="1" applyBorder="1" applyAlignment="1">
      <alignment horizontal="center" vertical="center" wrapText="1"/>
    </xf>
    <xf numFmtId="0" fontId="8" fillId="2" borderId="175" xfId="1383" applyFont="1" applyFill="1" applyBorder="1" applyAlignment="1">
      <alignment horizontal="center" vertical="center" wrapText="1"/>
    </xf>
    <xf numFmtId="0" fontId="8" fillId="2" borderId="135" xfId="1383" applyFont="1" applyFill="1" applyBorder="1" applyAlignment="1">
      <alignment horizontal="center" vertical="center" wrapText="1"/>
    </xf>
    <xf numFmtId="0" fontId="8" fillId="2" borderId="132" xfId="1383" applyFont="1" applyFill="1" applyBorder="1" applyAlignment="1">
      <alignment horizontal="center" vertical="center" wrapText="1"/>
    </xf>
    <xf numFmtId="0" fontId="8" fillId="2" borderId="169" xfId="1383" applyFont="1" applyFill="1" applyBorder="1" applyAlignment="1">
      <alignment horizontal="center" vertical="center" wrapText="1"/>
    </xf>
    <xf numFmtId="0" fontId="8" fillId="2" borderId="169" xfId="1383" applyFont="1" applyBorder="1" applyAlignment="1">
      <alignment horizontal="center" vertical="center" wrapText="1"/>
    </xf>
    <xf numFmtId="0" fontId="8" fillId="2" borderId="132" xfId="1383" applyFont="1" applyBorder="1" applyAlignment="1">
      <alignment horizontal="center" vertical="center" wrapText="1"/>
    </xf>
    <xf numFmtId="0" fontId="8" fillId="2" borderId="155" xfId="1362" applyFont="1" applyBorder="1" applyAlignment="1">
      <alignment horizontal="left" vertical="top"/>
    </xf>
    <xf numFmtId="164" fontId="8" fillId="2" borderId="156" xfId="1384" applyNumberFormat="1" applyFont="1" applyFill="1" applyBorder="1" applyAlignment="1">
      <alignment horizontal="center" vertical="center"/>
    </xf>
    <xf numFmtId="164" fontId="8" fillId="2" borderId="176" xfId="1386" applyNumberFormat="1" applyFont="1" applyFill="1" applyBorder="1" applyAlignment="1">
      <alignment horizontal="center" vertical="center"/>
    </xf>
    <xf numFmtId="164" fontId="8" fillId="2" borderId="156" xfId="1386" applyNumberFormat="1" applyFont="1" applyFill="1" applyBorder="1" applyAlignment="1">
      <alignment horizontal="center" vertical="center"/>
    </xf>
    <xf numFmtId="164" fontId="8" fillId="2" borderId="158" xfId="1386" applyNumberFormat="1" applyFont="1" applyFill="1" applyBorder="1" applyAlignment="1">
      <alignment horizontal="center" vertical="center"/>
    </xf>
    <xf numFmtId="164" fontId="8" fillId="2" borderId="177" xfId="1386" applyNumberFormat="1" applyFont="1" applyFill="1" applyBorder="1" applyAlignment="1">
      <alignment horizontal="center" vertical="center"/>
    </xf>
    <xf numFmtId="164" fontId="8" fillId="2" borderId="177" xfId="1386" applyNumberFormat="1" applyFont="1" applyBorder="1" applyAlignment="1">
      <alignment horizontal="center" vertical="center"/>
    </xf>
    <xf numFmtId="164" fontId="8" fillId="2" borderId="158" xfId="1386" applyNumberFormat="1" applyFont="1" applyBorder="1" applyAlignment="1">
      <alignment horizontal="center" vertical="center"/>
    </xf>
    <xf numFmtId="0" fontId="8" fillId="2" borderId="159" xfId="1362" applyFont="1" applyBorder="1" applyAlignment="1">
      <alignment horizontal="left" vertical="top"/>
    </xf>
    <xf numFmtId="164" fontId="8" fillId="2" borderId="160" xfId="1389" applyNumberFormat="1" applyFont="1" applyFill="1" applyBorder="1" applyAlignment="1">
      <alignment horizontal="center" vertical="center"/>
    </xf>
    <xf numFmtId="164" fontId="8" fillId="2" borderId="178" xfId="1391" applyNumberFormat="1" applyFont="1" applyFill="1" applyBorder="1" applyAlignment="1">
      <alignment horizontal="center" vertical="center"/>
    </xf>
    <xf numFmtId="164" fontId="8" fillId="2" borderId="160" xfId="1391" applyNumberFormat="1" applyFont="1" applyFill="1" applyBorder="1" applyAlignment="1">
      <alignment horizontal="center" vertical="center"/>
    </xf>
    <xf numFmtId="164" fontId="8" fillId="2" borderId="162" xfId="1391" applyNumberFormat="1" applyFont="1" applyFill="1" applyBorder="1" applyAlignment="1">
      <alignment horizontal="center" vertical="center"/>
    </xf>
    <xf numFmtId="164" fontId="8" fillId="2" borderId="179" xfId="1391" applyNumberFormat="1" applyFont="1" applyFill="1" applyBorder="1" applyAlignment="1">
      <alignment horizontal="center" vertical="center"/>
    </xf>
    <xf numFmtId="164" fontId="8" fillId="2" borderId="179" xfId="1391" applyNumberFormat="1" applyFont="1" applyBorder="1" applyAlignment="1">
      <alignment horizontal="center" vertical="center"/>
    </xf>
    <xf numFmtId="164" fontId="8" fillId="2" borderId="162" xfId="1391" applyNumberFormat="1" applyFont="1" applyBorder="1" applyAlignment="1">
      <alignment horizontal="center" vertical="center"/>
    </xf>
    <xf numFmtId="164" fontId="8" fillId="2" borderId="183" xfId="1389" applyNumberFormat="1" applyFont="1" applyFill="1" applyBorder="1" applyAlignment="1">
      <alignment horizontal="center" vertical="center"/>
    </xf>
    <xf numFmtId="164" fontId="8" fillId="2" borderId="184" xfId="1391" applyNumberFormat="1" applyFont="1" applyFill="1" applyBorder="1" applyAlignment="1">
      <alignment horizontal="center" vertical="center"/>
    </xf>
    <xf numFmtId="164" fontId="8" fillId="2" borderId="183" xfId="1391" applyNumberFormat="1" applyFont="1" applyFill="1" applyBorder="1" applyAlignment="1">
      <alignment horizontal="center" vertical="center"/>
    </xf>
    <xf numFmtId="164" fontId="8" fillId="2" borderId="185" xfId="1391" applyNumberFormat="1" applyFont="1" applyFill="1" applyBorder="1" applyAlignment="1">
      <alignment horizontal="center" vertical="center"/>
    </xf>
    <xf numFmtId="164" fontId="8" fillId="2" borderId="186" xfId="1391" applyNumberFormat="1" applyFont="1" applyFill="1" applyBorder="1" applyAlignment="1">
      <alignment horizontal="center" vertical="center"/>
    </xf>
    <xf numFmtId="164" fontId="8" fillId="2" borderId="186" xfId="1391" applyNumberFormat="1" applyFont="1" applyBorder="1" applyAlignment="1">
      <alignment horizontal="center" vertical="center"/>
    </xf>
    <xf numFmtId="164" fontId="8" fillId="2" borderId="185" xfId="1391" applyNumberFormat="1" applyFont="1" applyBorder="1" applyAlignment="1">
      <alignment horizontal="center" vertical="center"/>
    </xf>
    <xf numFmtId="0" fontId="8" fillId="2" borderId="134" xfId="1395" applyFont="1" applyBorder="1" applyAlignment="1">
      <alignment horizontal="left" vertical="top"/>
    </xf>
    <xf numFmtId="165" fontId="8" fillId="2" borderId="65" xfId="1397" applyNumberFormat="1" applyFont="1" applyFill="1" applyBorder="1" applyAlignment="1">
      <alignment horizontal="center" vertical="top"/>
    </xf>
    <xf numFmtId="165" fontId="8" fillId="2" borderId="187" xfId="1399" applyNumberFormat="1" applyFont="1" applyFill="1" applyBorder="1" applyAlignment="1">
      <alignment horizontal="center" vertical="center"/>
    </xf>
    <xf numFmtId="165" fontId="8" fillId="2" borderId="65" xfId="1397" applyNumberFormat="1" applyFont="1" applyFill="1" applyBorder="1" applyAlignment="1">
      <alignment horizontal="center" vertical="center"/>
    </xf>
    <xf numFmtId="165" fontId="8" fillId="2" borderId="59" xfId="1399" applyNumberFormat="1" applyFont="1" applyFill="1" applyBorder="1" applyAlignment="1">
      <alignment horizontal="center" vertical="center"/>
    </xf>
    <xf numFmtId="165" fontId="8" fillId="2" borderId="188" xfId="1397" applyNumberFormat="1" applyFont="1" applyFill="1" applyBorder="1" applyAlignment="1">
      <alignment horizontal="center" vertical="center"/>
    </xf>
    <xf numFmtId="165" fontId="62" fillId="2" borderId="65" xfId="1397" applyNumberFormat="1" applyFont="1" applyFill="1" applyBorder="1" applyAlignment="1">
      <alignment horizontal="center" vertical="center"/>
    </xf>
    <xf numFmtId="165" fontId="8" fillId="2" borderId="59" xfId="1400" applyNumberFormat="1" applyFont="1" applyFill="1" applyBorder="1" applyAlignment="1">
      <alignment horizontal="center" vertical="center"/>
    </xf>
    <xf numFmtId="0" fontId="21" fillId="0" borderId="155" xfId="0" applyFont="1" applyBorder="1"/>
    <xf numFmtId="0" fontId="21" fillId="0" borderId="159" xfId="0" applyFont="1" applyBorder="1"/>
    <xf numFmtId="0" fontId="21" fillId="0" borderId="163" xfId="0" applyFont="1" applyBorder="1"/>
    <xf numFmtId="0" fontId="20" fillId="0" borderId="227" xfId="0" applyFont="1" applyBorder="1"/>
    <xf numFmtId="0" fontId="20" fillId="0" borderId="164" xfId="0" applyFont="1" applyFill="1" applyBorder="1" applyAlignment="1">
      <alignment horizontal="right" vertical="center" wrapText="1"/>
    </xf>
    <xf numFmtId="0" fontId="20" fillId="0" borderId="166" xfId="0" applyFont="1" applyFill="1" applyBorder="1" applyAlignment="1">
      <alignment horizontal="right" vertical="center" wrapText="1"/>
    </xf>
    <xf numFmtId="0" fontId="20" fillId="0" borderId="181" xfId="0" applyFont="1" applyFill="1" applyBorder="1" applyAlignment="1">
      <alignment horizontal="right" vertical="center" wrapText="1"/>
    </xf>
    <xf numFmtId="0" fontId="21" fillId="0" borderId="182" xfId="1362" applyFont="1" applyFill="1" applyBorder="1" applyAlignment="1">
      <alignment horizontal="left" vertical="top"/>
    </xf>
    <xf numFmtId="2" fontId="21" fillId="0" borderId="183" xfId="1362" applyNumberFormat="1" applyFont="1" applyFill="1" applyBorder="1" applyAlignment="1">
      <alignment horizontal="center" vertical="center"/>
    </xf>
    <xf numFmtId="2" fontId="21" fillId="0" borderId="185" xfId="1362" applyNumberFormat="1" applyFont="1" applyFill="1" applyBorder="1" applyAlignment="1">
      <alignment horizontal="center" vertical="center"/>
    </xf>
    <xf numFmtId="2" fontId="21" fillId="0" borderId="186" xfId="1362" applyNumberFormat="1" applyFont="1" applyFill="1" applyBorder="1" applyAlignment="1">
      <alignment horizontal="center" vertical="center"/>
    </xf>
    <xf numFmtId="2" fontId="21" fillId="0" borderId="184" xfId="1362" applyNumberFormat="1" applyFont="1" applyFill="1" applyBorder="1" applyAlignment="1">
      <alignment horizontal="center" vertical="center"/>
    </xf>
    <xf numFmtId="0" fontId="21" fillId="0" borderId="163" xfId="1362" applyFont="1" applyFill="1" applyBorder="1" applyAlignment="1">
      <alignment horizontal="left" vertical="top"/>
    </xf>
    <xf numFmtId="2" fontId="21" fillId="0" borderId="164" xfId="1362" applyNumberFormat="1" applyFont="1" applyFill="1" applyBorder="1" applyAlignment="1">
      <alignment horizontal="center" vertical="center"/>
    </xf>
    <xf numFmtId="2" fontId="21" fillId="0" borderId="166" xfId="1362" applyNumberFormat="1" applyFont="1" applyFill="1" applyBorder="1" applyAlignment="1">
      <alignment horizontal="center" vertical="center"/>
    </xf>
    <xf numFmtId="2" fontId="21" fillId="0" borderId="181" xfId="1362" applyNumberFormat="1" applyFont="1" applyFill="1" applyBorder="1" applyAlignment="1">
      <alignment horizontal="center" vertical="center"/>
    </xf>
    <xf numFmtId="2" fontId="21" fillId="0" borderId="180" xfId="1362" applyNumberFormat="1" applyFont="1" applyFill="1" applyBorder="1" applyAlignment="1">
      <alignment horizontal="center" vertical="center"/>
    </xf>
    <xf numFmtId="0" fontId="8" fillId="0" borderId="135" xfId="586" applyFont="1" applyBorder="1" applyAlignment="1">
      <alignment horizontal="center" wrapText="1"/>
    </xf>
    <xf numFmtId="0" fontId="8" fillId="0" borderId="132" xfId="585" applyFont="1" applyBorder="1" applyAlignment="1">
      <alignment horizontal="center" wrapText="1"/>
    </xf>
    <xf numFmtId="0" fontId="8" fillId="0" borderId="132" xfId="587" applyFont="1" applyBorder="1" applyAlignment="1">
      <alignment horizontal="center" wrapText="1"/>
    </xf>
    <xf numFmtId="0" fontId="8" fillId="0" borderId="135" xfId="588" applyFont="1" applyBorder="1" applyAlignment="1">
      <alignment horizontal="center" wrapText="1"/>
    </xf>
    <xf numFmtId="164" fontId="8" fillId="0" borderId="156" xfId="591" applyNumberFormat="1" applyFont="1" applyBorder="1" applyAlignment="1">
      <alignment horizontal="right" vertical="top"/>
    </xf>
    <xf numFmtId="164" fontId="8" fillId="0" borderId="158" xfId="591" applyNumberFormat="1" applyFont="1" applyBorder="1" applyAlignment="1">
      <alignment horizontal="right" vertical="top"/>
    </xf>
    <xf numFmtId="0" fontId="8" fillId="0" borderId="159" xfId="0" applyFont="1" applyBorder="1" applyAlignment="1">
      <alignment horizontal="left" vertical="center"/>
    </xf>
    <xf numFmtId="164" fontId="8" fillId="0" borderId="160" xfId="591" applyNumberFormat="1" applyFont="1" applyBorder="1" applyAlignment="1">
      <alignment horizontal="right" vertical="top"/>
    </xf>
    <xf numFmtId="164" fontId="8" fillId="0" borderId="162" xfId="591" applyNumberFormat="1" applyFont="1" applyBorder="1" applyAlignment="1">
      <alignment horizontal="right" vertical="top"/>
    </xf>
    <xf numFmtId="164" fontId="8" fillId="0" borderId="164" xfId="591" applyNumberFormat="1" applyFont="1" applyBorder="1" applyAlignment="1">
      <alignment horizontal="right" vertical="top"/>
    </xf>
    <xf numFmtId="164" fontId="8" fillId="0" borderId="166" xfId="591" applyNumberFormat="1" applyFont="1" applyBorder="1" applyAlignment="1">
      <alignment horizontal="right" vertical="top"/>
    </xf>
    <xf numFmtId="0" fontId="8" fillId="0" borderId="159" xfId="0" applyFont="1" applyFill="1" applyBorder="1" applyAlignment="1">
      <alignment horizontal="left" vertical="center"/>
    </xf>
    <xf numFmtId="0" fontId="21" fillId="0" borderId="163" xfId="0" applyFont="1" applyFill="1" applyBorder="1" applyAlignment="1">
      <alignment vertical="center"/>
    </xf>
    <xf numFmtId="0" fontId="8" fillId="0" borderId="227" xfId="1190" applyFont="1" applyFill="1" applyBorder="1" applyAlignment="1">
      <alignment horizontal="left" vertical="center" wrapText="1"/>
    </xf>
    <xf numFmtId="0" fontId="8" fillId="0" borderId="155" xfId="0" applyFont="1" applyBorder="1" applyAlignment="1">
      <alignment horizontal="left" vertical="center" wrapText="1"/>
    </xf>
    <xf numFmtId="0" fontId="8" fillId="0" borderId="159" xfId="0" applyFont="1" applyBorder="1" applyAlignment="1">
      <alignment horizontal="left" vertical="center" wrapText="1"/>
    </xf>
    <xf numFmtId="0" fontId="8" fillId="0" borderId="163" xfId="0" applyFont="1" applyBorder="1" applyAlignment="1">
      <alignment horizontal="left" vertical="center" wrapText="1"/>
    </xf>
    <xf numFmtId="0" fontId="8" fillId="0" borderId="111" xfId="0" applyFont="1" applyBorder="1" applyAlignment="1">
      <alignment horizontal="left" vertical="top" wrapText="1"/>
    </xf>
    <xf numFmtId="0" fontId="53" fillId="0" borderId="169" xfId="0" applyFont="1" applyBorder="1" applyAlignment="1">
      <alignment horizontal="right" vertical="center"/>
    </xf>
    <xf numFmtId="0" fontId="53" fillId="0" borderId="177" xfId="0" applyFont="1" applyBorder="1" applyAlignment="1">
      <alignment horizontal="right" vertical="center"/>
    </xf>
    <xf numFmtId="0" fontId="53" fillId="0" borderId="179" xfId="0" applyFont="1" applyBorder="1" applyAlignment="1">
      <alignment horizontal="right" vertical="center"/>
    </xf>
    <xf numFmtId="0" fontId="53" fillId="0" borderId="181" xfId="0" applyFont="1" applyBorder="1" applyAlignment="1">
      <alignment horizontal="right" vertical="center"/>
    </xf>
    <xf numFmtId="0" fontId="53" fillId="0" borderId="231" xfId="0" applyFont="1" applyBorder="1" applyAlignment="1">
      <alignment horizontal="right" vertical="center"/>
    </xf>
    <xf numFmtId="0" fontId="8" fillId="0" borderId="135" xfId="0" applyFont="1" applyBorder="1" applyAlignment="1">
      <alignment horizontal="right" vertical="center"/>
    </xf>
    <xf numFmtId="0" fontId="8" fillId="0" borderId="132" xfId="0" applyFont="1" applyBorder="1" applyAlignment="1">
      <alignment horizontal="right" vertical="center" wrapText="1"/>
    </xf>
    <xf numFmtId="0" fontId="53" fillId="0" borderId="156" xfId="0" applyFont="1" applyBorder="1" applyAlignment="1">
      <alignment horizontal="right" vertical="center"/>
    </xf>
    <xf numFmtId="0" fontId="53" fillId="0" borderId="160" xfId="0" applyFont="1" applyBorder="1" applyAlignment="1">
      <alignment horizontal="right" vertical="center"/>
    </xf>
    <xf numFmtId="0" fontId="53" fillId="0" borderId="164" xfId="0" applyFont="1" applyBorder="1" applyAlignment="1">
      <alignment horizontal="right" vertical="center"/>
    </xf>
    <xf numFmtId="0" fontId="53" fillId="0" borderId="174" xfId="0" applyFont="1" applyBorder="1" applyAlignment="1">
      <alignment horizontal="right" vertical="center"/>
    </xf>
    <xf numFmtId="0" fontId="21" fillId="0" borderId="155" xfId="886" applyFont="1" applyFill="1" applyBorder="1" applyAlignment="1">
      <alignment horizontal="left" vertical="center" wrapText="1"/>
    </xf>
    <xf numFmtId="0" fontId="21" fillId="0" borderId="159" xfId="889" applyFont="1" applyFill="1" applyBorder="1" applyAlignment="1">
      <alignment horizontal="left" vertical="center" wrapText="1"/>
    </xf>
    <xf numFmtId="0" fontId="21" fillId="0" borderId="159" xfId="892" applyFont="1" applyFill="1" applyBorder="1" applyAlignment="1">
      <alignment horizontal="left" vertical="center" wrapText="1"/>
    </xf>
    <xf numFmtId="0" fontId="21" fillId="0" borderId="163" xfId="889" applyFont="1" applyFill="1" applyBorder="1" applyAlignment="1">
      <alignment horizontal="left" vertical="center" wrapText="1"/>
    </xf>
    <xf numFmtId="167" fontId="21" fillId="0" borderId="160" xfId="0" applyNumberFormat="1" applyFont="1" applyBorder="1" applyAlignment="1">
      <alignment horizontal="center" vertical="center"/>
    </xf>
    <xf numFmtId="167" fontId="21" fillId="0" borderId="162" xfId="0" applyNumberFormat="1" applyFont="1" applyBorder="1" applyAlignment="1">
      <alignment horizontal="center" vertical="center"/>
    </xf>
    <xf numFmtId="0" fontId="21" fillId="0" borderId="155" xfId="517" applyFont="1" applyBorder="1" applyAlignment="1">
      <alignment horizontal="left" vertical="center" wrapText="1"/>
    </xf>
    <xf numFmtId="0" fontId="21" fillId="0" borderId="159" xfId="517" applyFont="1" applyBorder="1" applyAlignment="1">
      <alignment horizontal="left" vertical="center" wrapText="1"/>
    </xf>
    <xf numFmtId="167" fontId="21" fillId="0" borderId="164" xfId="0" applyNumberFormat="1" applyFont="1" applyBorder="1" applyAlignment="1">
      <alignment horizontal="center" vertical="center"/>
    </xf>
    <xf numFmtId="167" fontId="21" fillId="0" borderId="166" xfId="0" applyNumberFormat="1" applyFont="1" applyBorder="1" applyAlignment="1">
      <alignment horizontal="center" vertical="center"/>
    </xf>
    <xf numFmtId="167" fontId="14" fillId="2" borderId="158" xfId="1261" applyNumberFormat="1" applyFont="1" applyBorder="1" applyAlignment="1">
      <alignment horizontal="left" vertical="center" wrapText="1"/>
    </xf>
    <xf numFmtId="167" fontId="14" fillId="2" borderId="162" xfId="1266" applyNumberFormat="1" applyFont="1" applyBorder="1" applyAlignment="1">
      <alignment horizontal="left" vertical="center" wrapText="1"/>
    </xf>
    <xf numFmtId="167" fontId="14" fillId="2" borderId="166" xfId="1271" applyNumberFormat="1" applyFont="1" applyBorder="1" applyAlignment="1">
      <alignment horizontal="left" vertical="center" wrapText="1"/>
    </xf>
    <xf numFmtId="167" fontId="21" fillId="0" borderId="31" xfId="0" applyNumberFormat="1" applyFont="1" applyBorder="1" applyAlignment="1">
      <alignment horizontal="center" vertical="center"/>
    </xf>
    <xf numFmtId="0" fontId="21" fillId="2" borderId="31" xfId="509" applyFont="1" applyFill="1" applyBorder="1" applyAlignment="1">
      <alignment vertical="center" wrapText="1"/>
    </xf>
    <xf numFmtId="0" fontId="21" fillId="2" borderId="31" xfId="507" applyFont="1" applyFill="1" applyBorder="1" applyAlignment="1">
      <alignment vertical="center" wrapText="1"/>
    </xf>
    <xf numFmtId="0" fontId="21" fillId="0" borderId="31" xfId="508" applyFont="1" applyBorder="1" applyAlignment="1">
      <alignment vertical="center" wrapText="1"/>
    </xf>
    <xf numFmtId="0" fontId="21" fillId="0" borderId="31" xfId="507" applyFont="1" applyBorder="1" applyAlignment="1">
      <alignment vertical="center" wrapText="1"/>
    </xf>
    <xf numFmtId="0" fontId="21" fillId="2" borderId="31" xfId="508" applyFont="1" applyFill="1" applyBorder="1" applyAlignment="1">
      <alignment vertical="center" wrapText="1"/>
    </xf>
    <xf numFmtId="0" fontId="2" fillId="0" borderId="111" xfId="686" applyFont="1" applyFill="1" applyBorder="1"/>
    <xf numFmtId="0" fontId="8" fillId="0" borderId="155" xfId="695" applyFont="1" applyFill="1" applyBorder="1" applyAlignment="1">
      <alignment horizontal="left" vertical="center" wrapText="1"/>
    </xf>
    <xf numFmtId="0" fontId="8" fillId="0" borderId="159" xfId="700" applyFont="1" applyFill="1" applyBorder="1" applyAlignment="1">
      <alignment horizontal="left" vertical="center" wrapText="1"/>
    </xf>
    <xf numFmtId="0" fontId="8" fillId="0" borderId="163" xfId="705" applyFont="1" applyFill="1" applyBorder="1" applyAlignment="1">
      <alignment horizontal="left" vertical="center" wrapText="1"/>
    </xf>
    <xf numFmtId="164" fontId="8" fillId="0" borderId="156" xfId="696" applyNumberFormat="1" applyFont="1" applyFill="1" applyBorder="1" applyAlignment="1">
      <alignment horizontal="right" vertical="center"/>
    </xf>
    <xf numFmtId="164" fontId="8" fillId="0" borderId="160" xfId="701" applyNumberFormat="1" applyFont="1" applyFill="1" applyBorder="1" applyAlignment="1">
      <alignment horizontal="right" vertical="center"/>
    </xf>
    <xf numFmtId="164" fontId="8" fillId="0" borderId="164" xfId="706" applyNumberFormat="1" applyFont="1" applyFill="1" applyBorder="1" applyAlignment="1">
      <alignment horizontal="right" vertical="center"/>
    </xf>
    <xf numFmtId="0" fontId="8" fillId="2" borderId="87" xfId="758" applyFont="1" applyBorder="1" applyAlignment="1">
      <alignment horizontal="left" vertical="top" wrapText="1"/>
    </xf>
    <xf numFmtId="0" fontId="8" fillId="2" borderId="196" xfId="737" applyFont="1" applyBorder="1" applyAlignment="1">
      <alignment horizontal="right" vertical="center" wrapText="1"/>
    </xf>
    <xf numFmtId="0" fontId="2" fillId="2" borderId="232" xfId="667" applyFont="1" applyBorder="1" applyAlignment="1">
      <alignment horizontal="center" vertical="center" wrapText="1"/>
    </xf>
    <xf numFmtId="164" fontId="3" fillId="2" borderId="233" xfId="672" applyNumberFormat="1" applyFont="1" applyBorder="1" applyAlignment="1">
      <alignment horizontal="right" vertical="center"/>
    </xf>
    <xf numFmtId="164" fontId="3" fillId="2" borderId="234" xfId="677" applyNumberFormat="1" applyFont="1" applyBorder="1" applyAlignment="1">
      <alignment horizontal="right" vertical="center"/>
    </xf>
    <xf numFmtId="0" fontId="0" fillId="0" borderId="111" xfId="0" applyBorder="1" applyAlignment="1">
      <alignment horizontal="center" vertical="center"/>
    </xf>
    <xf numFmtId="0" fontId="2" fillId="0" borderId="155" xfId="671" applyFont="1" applyFill="1" applyBorder="1" applyAlignment="1">
      <alignment horizontal="left" vertical="top" wrapText="1"/>
    </xf>
    <xf numFmtId="0" fontId="2" fillId="0" borderId="163" xfId="676" applyFont="1" applyFill="1" applyBorder="1" applyAlignment="1">
      <alignment horizontal="left" vertical="top" wrapText="1"/>
    </xf>
    <xf numFmtId="0" fontId="2" fillId="0" borderId="174" xfId="667" applyFont="1" applyFill="1" applyBorder="1" applyAlignment="1">
      <alignment horizontal="center" vertical="center" wrapText="1"/>
    </xf>
    <xf numFmtId="167" fontId="0" fillId="0" borderId="156" xfId="0" applyNumberFormat="1" applyBorder="1" applyAlignment="1">
      <alignment horizontal="center" vertical="center"/>
    </xf>
    <xf numFmtId="167" fontId="0" fillId="0" borderId="164" xfId="0" applyNumberFormat="1" applyBorder="1" applyAlignment="1">
      <alignment horizontal="center" vertical="center"/>
    </xf>
    <xf numFmtId="0" fontId="0" fillId="0" borderId="87" xfId="0" applyBorder="1"/>
    <xf numFmtId="0" fontId="0" fillId="0" borderId="155" xfId="0" applyBorder="1" applyAlignment="1">
      <alignment horizontal="left" vertical="top"/>
    </xf>
    <xf numFmtId="0" fontId="0" fillId="0" borderId="159" xfId="0" applyBorder="1" applyAlignment="1">
      <alignment horizontal="left" vertical="top"/>
    </xf>
    <xf numFmtId="0" fontId="0" fillId="0" borderId="159" xfId="0" applyBorder="1" applyAlignment="1">
      <alignment horizontal="left" vertical="top" wrapText="1"/>
    </xf>
    <xf numFmtId="0" fontId="0" fillId="0" borderId="163" xfId="0" applyBorder="1" applyAlignment="1">
      <alignment horizontal="left" vertical="top"/>
    </xf>
    <xf numFmtId="0" fontId="0" fillId="0" borderId="196" xfId="0" applyBorder="1" applyAlignment="1">
      <alignment horizontal="center" vertical="center"/>
    </xf>
    <xf numFmtId="167" fontId="0" fillId="0" borderId="160" xfId="0" applyNumberFormat="1" applyBorder="1" applyAlignment="1">
      <alignment horizontal="center" vertical="center"/>
    </xf>
    <xf numFmtId="0" fontId="46" fillId="0" borderId="114" xfId="0" applyFont="1" applyBorder="1" applyAlignment="1">
      <alignment horizontal="center" vertical="center" wrapText="1"/>
    </xf>
    <xf numFmtId="0" fontId="46" fillId="0" borderId="115" xfId="0" applyFont="1" applyBorder="1" applyAlignment="1">
      <alignment horizontal="center" vertical="center" wrapText="1"/>
    </xf>
    <xf numFmtId="0" fontId="46" fillId="0" borderId="110" xfId="0" applyFont="1" applyBorder="1" applyAlignment="1">
      <alignment horizontal="center" vertical="center" wrapText="1"/>
    </xf>
    <xf numFmtId="0" fontId="46" fillId="0" borderId="111" xfId="0" applyFont="1" applyBorder="1" applyAlignment="1">
      <alignment horizontal="center" vertical="center" wrapText="1"/>
    </xf>
    <xf numFmtId="0" fontId="46" fillId="0" borderId="116" xfId="0" applyFont="1" applyBorder="1" applyAlignment="1">
      <alignment horizontal="center" vertical="center" wrapText="1"/>
    </xf>
    <xf numFmtId="0" fontId="46" fillId="0" borderId="109" xfId="0" applyFont="1" applyBorder="1" applyAlignment="1">
      <alignment horizontal="center" vertical="center" wrapText="1"/>
    </xf>
    <xf numFmtId="0" fontId="21" fillId="0" borderId="111" xfId="0" applyFont="1" applyBorder="1" applyAlignment="1">
      <alignment horizontal="center" vertical="center" wrapText="1"/>
    </xf>
    <xf numFmtId="0" fontId="21" fillId="0" borderId="109" xfId="0" applyFont="1" applyBorder="1" applyAlignment="1">
      <alignment horizontal="center" vertical="center" wrapText="1"/>
    </xf>
    <xf numFmtId="0" fontId="21" fillId="0" borderId="115" xfId="0" applyFont="1" applyBorder="1" applyAlignment="1">
      <alignment vertical="center" wrapText="1"/>
    </xf>
    <xf numFmtId="0" fontId="21" fillId="0" borderId="149" xfId="0" applyFont="1" applyBorder="1" applyAlignment="1">
      <alignment vertical="center" wrapText="1"/>
    </xf>
    <xf numFmtId="0" fontId="21" fillId="0" borderId="152" xfId="0" applyFont="1" applyBorder="1" applyAlignment="1">
      <alignment vertical="center" wrapText="1"/>
    </xf>
    <xf numFmtId="0" fontId="21" fillId="0" borderId="145" xfId="0" applyFont="1" applyBorder="1" applyAlignment="1">
      <alignment vertical="center" wrapText="1"/>
    </xf>
    <xf numFmtId="0" fontId="21" fillId="0" borderId="143" xfId="0" applyFont="1" applyBorder="1" applyAlignment="1">
      <alignment vertical="center" wrapText="1"/>
    </xf>
    <xf numFmtId="0" fontId="21" fillId="0" borderId="114" xfId="0" applyFont="1" applyBorder="1" applyAlignment="1">
      <alignment horizontal="center" vertical="center" wrapText="1"/>
    </xf>
    <xf numFmtId="0" fontId="21" fillId="0" borderId="115" xfId="0" applyFont="1" applyBorder="1" applyAlignment="1">
      <alignment horizontal="center" vertical="center" wrapText="1"/>
    </xf>
    <xf numFmtId="0" fontId="21" fillId="0" borderId="110" xfId="0" applyFont="1" applyBorder="1" applyAlignment="1">
      <alignment horizontal="center" vertical="center" wrapText="1"/>
    </xf>
    <xf numFmtId="0" fontId="21" fillId="0" borderId="123" xfId="0" applyFont="1" applyBorder="1" applyAlignment="1">
      <alignment horizontal="center"/>
    </xf>
    <xf numFmtId="0" fontId="21" fillId="0" borderId="31" xfId="0" applyFont="1" applyBorder="1" applyAlignment="1">
      <alignment horizontal="center"/>
    </xf>
    <xf numFmtId="0" fontId="37" fillId="0" borderId="0" xfId="0" applyFont="1" applyAlignment="1">
      <alignment horizontal="left" vertical="center" wrapText="1"/>
    </xf>
    <xf numFmtId="0" fontId="24" fillId="0" borderId="0" xfId="0" applyFont="1" applyAlignment="1">
      <alignment horizontal="left" vertical="center" wrapText="1"/>
    </xf>
    <xf numFmtId="0" fontId="21" fillId="0" borderId="31" xfId="0" applyFont="1" applyBorder="1" applyAlignment="1">
      <alignment horizontal="right" vertical="center" wrapText="1"/>
    </xf>
    <xf numFmtId="0" fontId="21" fillId="0" borderId="104" xfId="0" applyFont="1" applyBorder="1" applyAlignment="1">
      <alignment horizontal="right" vertical="center" wrapText="1"/>
    </xf>
    <xf numFmtId="0" fontId="23" fillId="0" borderId="0" xfId="0" applyFont="1" applyAlignment="1">
      <alignment horizontal="left" vertical="center" wrapText="1"/>
    </xf>
    <xf numFmtId="0" fontId="45" fillId="2" borderId="32" xfId="737" applyFont="1" applyBorder="1" applyAlignment="1">
      <alignment horizontal="center" wrapText="1"/>
    </xf>
    <xf numFmtId="0" fontId="45" fillId="2" borderId="21" xfId="737" applyFont="1" applyBorder="1" applyAlignment="1">
      <alignment horizontal="center" wrapText="1"/>
    </xf>
    <xf numFmtId="0" fontId="39" fillId="2" borderId="3" xfId="24" applyFont="1" applyFill="1" applyBorder="1" applyAlignment="1">
      <alignment horizontal="left" vertical="center" wrapText="1"/>
    </xf>
    <xf numFmtId="0" fontId="28" fillId="2" borderId="16" xfId="22" applyFont="1" applyFill="1" applyBorder="1" applyAlignment="1">
      <alignment horizontal="left" vertical="center" wrapText="1"/>
    </xf>
    <xf numFmtId="0" fontId="28" fillId="2" borderId="17" xfId="23" applyFont="1" applyFill="1" applyBorder="1" applyAlignment="1">
      <alignment horizontal="left" vertical="center" wrapText="1"/>
    </xf>
    <xf numFmtId="0" fontId="20" fillId="0" borderId="133" xfId="0" applyFont="1" applyBorder="1" applyAlignment="1">
      <alignment vertical="center" wrapText="1"/>
    </xf>
    <xf numFmtId="0" fontId="20" fillId="0" borderId="134" xfId="0" applyFont="1" applyBorder="1" applyAlignment="1">
      <alignment vertical="center" wrapText="1"/>
    </xf>
    <xf numFmtId="0" fontId="44" fillId="0" borderId="117" xfId="0" applyFont="1" applyBorder="1" applyAlignment="1">
      <alignment horizontal="center" vertical="center" wrapText="1"/>
    </xf>
    <xf numFmtId="0" fontId="44" fillId="0" borderId="64" xfId="0" applyFont="1" applyBorder="1" applyAlignment="1">
      <alignment horizontal="center" vertical="center" wrapText="1"/>
    </xf>
    <xf numFmtId="0" fontId="44" fillId="0" borderId="118" xfId="0" applyFont="1" applyBorder="1" applyAlignment="1">
      <alignment horizontal="center" vertical="center" wrapText="1"/>
    </xf>
    <xf numFmtId="0" fontId="44" fillId="0" borderId="136" xfId="0" applyFont="1" applyBorder="1" applyAlignment="1">
      <alignment horizontal="center" vertical="center" wrapText="1"/>
    </xf>
    <xf numFmtId="0" fontId="44" fillId="0" borderId="139" xfId="0" applyFont="1" applyBorder="1" applyAlignment="1">
      <alignment horizontal="center" vertical="center" wrapText="1"/>
    </xf>
    <xf numFmtId="0" fontId="20" fillId="0" borderId="114" xfId="0" applyFont="1" applyBorder="1" applyAlignment="1">
      <alignment horizontal="left" vertical="center" wrapText="1"/>
    </xf>
    <xf numFmtId="0" fontId="20" fillId="0" borderId="110" xfId="0" applyFont="1" applyBorder="1" applyAlignment="1">
      <alignment horizontal="left" vertical="center" wrapText="1"/>
    </xf>
    <xf numFmtId="0" fontId="44" fillId="0" borderId="87" xfId="0" applyFont="1" applyBorder="1" applyAlignment="1">
      <alignment horizontal="center" vertical="center" wrapText="1"/>
    </xf>
    <xf numFmtId="0" fontId="44" fillId="0" borderId="88" xfId="0" applyFont="1" applyBorder="1" applyAlignment="1">
      <alignment horizontal="center" vertical="center" wrapText="1"/>
    </xf>
    <xf numFmtId="0" fontId="44" fillId="0" borderId="89" xfId="0" applyFont="1" applyBorder="1" applyAlignment="1">
      <alignment horizontal="center" vertical="center" wrapText="1"/>
    </xf>
    <xf numFmtId="0" fontId="20" fillId="0" borderId="114" xfId="0" applyFont="1" applyBorder="1" applyAlignment="1">
      <alignment vertical="center" wrapText="1"/>
    </xf>
    <xf numFmtId="0" fontId="20" fillId="0" borderId="110" xfId="0" applyFont="1" applyBorder="1" applyAlignment="1">
      <alignment vertical="center" wrapText="1"/>
    </xf>
    <xf numFmtId="0" fontId="8" fillId="2" borderId="117" xfId="131" applyFont="1" applyFill="1" applyBorder="1" applyAlignment="1">
      <alignment horizontal="center" wrapText="1"/>
    </xf>
    <xf numFmtId="0" fontId="8" fillId="2" borderId="139" xfId="130" applyFont="1" applyFill="1" applyBorder="1" applyAlignment="1">
      <alignment horizontal="center" wrapText="1"/>
    </xf>
    <xf numFmtId="0" fontId="8" fillId="2" borderId="117" xfId="130" applyFont="1" applyFill="1" applyBorder="1" applyAlignment="1">
      <alignment horizontal="center" wrapText="1"/>
    </xf>
    <xf numFmtId="0" fontId="8" fillId="2" borderId="118" xfId="130" applyFont="1" applyFill="1" applyBorder="1" applyAlignment="1">
      <alignment horizontal="center" wrapText="1"/>
    </xf>
    <xf numFmtId="0" fontId="8" fillId="0" borderId="136" xfId="130" applyFont="1" applyBorder="1" applyAlignment="1">
      <alignment horizontal="center" wrapText="1"/>
    </xf>
    <xf numFmtId="0" fontId="8" fillId="0" borderId="118" xfId="133" applyFont="1" applyBorder="1" applyAlignment="1">
      <alignment horizontal="center" wrapText="1"/>
    </xf>
    <xf numFmtId="0" fontId="39" fillId="2" borderId="31" xfId="156" applyFont="1" applyFill="1" applyBorder="1" applyAlignment="1">
      <alignment horizontal="left" vertical="center" wrapText="1"/>
    </xf>
    <xf numFmtId="0" fontId="28" fillId="2" borderId="31" xfId="156" applyFont="1" applyFill="1" applyBorder="1" applyAlignment="1">
      <alignment horizontal="left" vertical="center" wrapText="1"/>
    </xf>
    <xf numFmtId="0" fontId="0" fillId="0" borderId="114" xfId="0" applyBorder="1" applyAlignment="1">
      <alignment horizontal="center"/>
    </xf>
    <xf numFmtId="0" fontId="0" fillId="0" borderId="110" xfId="0" applyBorder="1" applyAlignment="1">
      <alignment horizontal="center"/>
    </xf>
    <xf numFmtId="0" fontId="20" fillId="0" borderId="117" xfId="0" applyFont="1" applyBorder="1" applyAlignment="1">
      <alignment horizontal="center" vertical="center" wrapText="1"/>
    </xf>
    <xf numFmtId="0" fontId="20" fillId="0" borderId="139" xfId="0" applyFont="1" applyBorder="1" applyAlignment="1">
      <alignment horizontal="center" vertical="center" wrapText="1"/>
    </xf>
    <xf numFmtId="0" fontId="20" fillId="0" borderId="118" xfId="0" applyFont="1" applyBorder="1" applyAlignment="1">
      <alignment horizontal="center" vertical="center" wrapText="1"/>
    </xf>
    <xf numFmtId="0" fontId="20" fillId="0" borderId="136" xfId="0" applyFont="1" applyBorder="1" applyAlignment="1">
      <alignment horizontal="center" vertical="center" wrapText="1"/>
    </xf>
    <xf numFmtId="0" fontId="9" fillId="2" borderId="117" xfId="214" applyFont="1" applyFill="1" applyBorder="1" applyAlignment="1">
      <alignment horizontal="center" vertical="center" wrapText="1"/>
    </xf>
    <xf numFmtId="0" fontId="9" fillId="2" borderId="139" xfId="213" applyFont="1" applyFill="1" applyBorder="1" applyAlignment="1">
      <alignment horizontal="center" vertical="center" wrapText="1"/>
    </xf>
    <xf numFmtId="0" fontId="9" fillId="2" borderId="117" xfId="213" applyFont="1" applyFill="1" applyBorder="1" applyAlignment="1">
      <alignment horizontal="center" vertical="center" wrapText="1"/>
    </xf>
    <xf numFmtId="0" fontId="9" fillId="2" borderId="118" xfId="216" applyFont="1" applyFill="1" applyBorder="1" applyAlignment="1">
      <alignment horizontal="center" vertical="center" wrapText="1"/>
    </xf>
    <xf numFmtId="0" fontId="39" fillId="2" borderId="3" xfId="209" applyFont="1" applyFill="1" applyBorder="1" applyAlignment="1">
      <alignment horizontal="left" vertical="center" wrapText="1"/>
    </xf>
    <xf numFmtId="0" fontId="39" fillId="2" borderId="1" xfId="207" applyFont="1" applyFill="1" applyBorder="1" applyAlignment="1">
      <alignment horizontal="left" vertical="center" wrapText="1"/>
    </xf>
    <xf numFmtId="0" fontId="39" fillId="2" borderId="2" xfId="208" applyFont="1" applyFill="1" applyBorder="1" applyAlignment="1">
      <alignment horizontal="left" vertical="center" wrapText="1"/>
    </xf>
    <xf numFmtId="0" fontId="28" fillId="2" borderId="138" xfId="239" applyFont="1" applyFill="1" applyBorder="1" applyAlignment="1">
      <alignment horizontal="center" vertical="top" wrapText="1"/>
    </xf>
    <xf numFmtId="0" fontId="28" fillId="2" borderId="230" xfId="239" applyFont="1" applyFill="1" applyBorder="1" applyAlignment="1">
      <alignment horizontal="center" vertical="top" wrapText="1"/>
    </xf>
    <xf numFmtId="0" fontId="1" fillId="2" borderId="3" xfId="292" applyFont="1" applyFill="1" applyBorder="1" applyAlignment="1">
      <alignment horizontal="center" vertical="center" wrapText="1"/>
    </xf>
    <xf numFmtId="0" fontId="3" fillId="2" borderId="31" xfId="322" applyFont="1" applyFill="1" applyBorder="1" applyAlignment="1">
      <alignment horizontal="left" vertical="top" wrapText="1"/>
    </xf>
    <xf numFmtId="0" fontId="39" fillId="2" borderId="3" xfId="292" applyFont="1" applyFill="1" applyBorder="1" applyAlignment="1">
      <alignment horizontal="left" vertical="center" wrapText="1"/>
    </xf>
    <xf numFmtId="0" fontId="2" fillId="2" borderId="133" xfId="293" applyFont="1" applyFill="1" applyBorder="1" applyAlignment="1">
      <alignment horizontal="left" wrapText="1"/>
    </xf>
    <xf numFmtId="0" fontId="2" fillId="2" borderId="134" xfId="294" applyFont="1" applyFill="1" applyBorder="1" applyAlignment="1">
      <alignment horizontal="left" wrapText="1"/>
    </xf>
    <xf numFmtId="0" fontId="21" fillId="2" borderId="117" xfId="297" applyFont="1" applyFill="1" applyBorder="1" applyAlignment="1">
      <alignment horizontal="center" wrapText="1"/>
    </xf>
    <xf numFmtId="0" fontId="21" fillId="2" borderId="139" xfId="296" applyFont="1" applyFill="1" applyBorder="1" applyAlignment="1">
      <alignment horizontal="center" wrapText="1"/>
    </xf>
    <xf numFmtId="0" fontId="21" fillId="2" borderId="117" xfId="296" applyFont="1" applyFill="1" applyBorder="1" applyAlignment="1">
      <alignment horizontal="center" wrapText="1"/>
    </xf>
    <xf numFmtId="0" fontId="21" fillId="2" borderId="118" xfId="296" applyFont="1" applyFill="1" applyBorder="1" applyAlignment="1">
      <alignment horizontal="center" wrapText="1"/>
    </xf>
    <xf numFmtId="0" fontId="21" fillId="2" borderId="136" xfId="296" applyFont="1" applyFill="1" applyBorder="1" applyAlignment="1">
      <alignment horizontal="center" wrapText="1"/>
    </xf>
    <xf numFmtId="0" fontId="21" fillId="2" borderId="118" xfId="299" applyFont="1" applyFill="1" applyBorder="1" applyAlignment="1">
      <alignment horizontal="center" wrapText="1"/>
    </xf>
    <xf numFmtId="0" fontId="2" fillId="2" borderId="20" xfId="296" applyFont="1" applyFill="1" applyBorder="1" applyAlignment="1">
      <alignment horizontal="center" wrapText="1"/>
    </xf>
    <xf numFmtId="0" fontId="2" fillId="2" borderId="31" xfId="296" applyFont="1" applyFill="1" applyBorder="1" applyAlignment="1">
      <alignment horizontal="center" wrapText="1"/>
    </xf>
    <xf numFmtId="0" fontId="2" fillId="2" borderId="18" xfId="296" applyFont="1" applyFill="1" applyBorder="1" applyAlignment="1">
      <alignment horizontal="center" wrapText="1"/>
    </xf>
    <xf numFmtId="0" fontId="2" fillId="2" borderId="31" xfId="297" applyFont="1" applyFill="1" applyBorder="1" applyAlignment="1">
      <alignment horizontal="center" wrapText="1"/>
    </xf>
    <xf numFmtId="0" fontId="2" fillId="2" borderId="18" xfId="297" applyFont="1" applyFill="1" applyBorder="1" applyAlignment="1">
      <alignment horizontal="center" wrapText="1"/>
    </xf>
    <xf numFmtId="0" fontId="2" fillId="2" borderId="31" xfId="293" applyFont="1" applyFill="1" applyBorder="1" applyAlignment="1">
      <alignment horizontal="left" wrapText="1"/>
    </xf>
    <xf numFmtId="0" fontId="2" fillId="2" borderId="32" xfId="293" applyFont="1" applyFill="1" applyBorder="1" applyAlignment="1">
      <alignment horizontal="left" wrapText="1"/>
    </xf>
    <xf numFmtId="0" fontId="37" fillId="2" borderId="3" xfId="326" applyFont="1" applyFill="1" applyBorder="1" applyAlignment="1">
      <alignment horizontal="left" vertical="center" wrapText="1"/>
    </xf>
    <xf numFmtId="0" fontId="37" fillId="2" borderId="1" xfId="324" applyFont="1" applyFill="1" applyBorder="1" applyAlignment="1">
      <alignment horizontal="left" vertical="center" wrapText="1"/>
    </xf>
    <xf numFmtId="0" fontId="20" fillId="2" borderId="133" xfId="327" applyFont="1" applyFill="1" applyBorder="1" applyAlignment="1">
      <alignment horizontal="left" wrapText="1"/>
    </xf>
    <xf numFmtId="0" fontId="20" fillId="2" borderId="173" xfId="329" applyFont="1" applyFill="1" applyBorder="1" applyAlignment="1">
      <alignment horizontal="left" wrapText="1"/>
    </xf>
    <xf numFmtId="0" fontId="20" fillId="2" borderId="117" xfId="334" applyFont="1" applyFill="1" applyBorder="1" applyAlignment="1">
      <alignment horizontal="center" wrapText="1"/>
    </xf>
    <xf numFmtId="0" fontId="20" fillId="2" borderId="64" xfId="332" applyFont="1" applyFill="1" applyBorder="1" applyAlignment="1">
      <alignment horizontal="center" wrapText="1"/>
    </xf>
    <xf numFmtId="0" fontId="20" fillId="2" borderId="118" xfId="332" applyFont="1" applyFill="1" applyBorder="1" applyAlignment="1">
      <alignment horizontal="center" wrapText="1"/>
    </xf>
    <xf numFmtId="0" fontId="20" fillId="2" borderId="136" xfId="333" applyFont="1" applyFill="1" applyBorder="1" applyAlignment="1">
      <alignment horizontal="center" wrapText="1"/>
    </xf>
    <xf numFmtId="0" fontId="20" fillId="2" borderId="139" xfId="332" applyFont="1" applyFill="1" applyBorder="1" applyAlignment="1">
      <alignment horizontal="center" wrapText="1"/>
    </xf>
    <xf numFmtId="0" fontId="20" fillId="2" borderId="117" xfId="333" applyFont="1" applyFill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2" fillId="2" borderId="133" xfId="376" applyFont="1" applyFill="1" applyBorder="1" applyAlignment="1">
      <alignment horizontal="left" wrapText="1"/>
    </xf>
    <xf numFmtId="0" fontId="2" fillId="2" borderId="173" xfId="377" applyFont="1" applyFill="1" applyBorder="1" applyAlignment="1">
      <alignment horizontal="left" wrapText="1"/>
    </xf>
    <xf numFmtId="0" fontId="8" fillId="2" borderId="117" xfId="380" applyFont="1" applyFill="1" applyBorder="1" applyAlignment="1">
      <alignment horizontal="center" vertical="center" wrapText="1"/>
    </xf>
    <xf numFmtId="0" fontId="8" fillId="2" borderId="118" xfId="379" applyFont="1" applyFill="1" applyBorder="1" applyAlignment="1">
      <alignment horizontal="center" vertical="center" wrapText="1"/>
    </xf>
    <xf numFmtId="0" fontId="8" fillId="2" borderId="136" xfId="379" applyFont="1" applyFill="1" applyBorder="1" applyAlignment="1">
      <alignment horizontal="center" vertical="center" wrapText="1"/>
    </xf>
    <xf numFmtId="0" fontId="8" fillId="2" borderId="118" xfId="382" applyFont="1" applyFill="1" applyBorder="1" applyAlignment="1">
      <alignment horizontal="center" vertical="center" wrapText="1"/>
    </xf>
    <xf numFmtId="0" fontId="1" fillId="2" borderId="3" xfId="375" applyFont="1" applyFill="1" applyBorder="1" applyAlignment="1">
      <alignment horizontal="center" vertical="center" wrapText="1"/>
    </xf>
    <xf numFmtId="0" fontId="1" fillId="2" borderId="1" xfId="373" applyFont="1" applyFill="1" applyBorder="1" applyAlignment="1">
      <alignment horizontal="center" vertical="center" wrapText="1"/>
    </xf>
    <xf numFmtId="0" fontId="1" fillId="2" borderId="2" xfId="374" applyFont="1" applyFill="1" applyBorder="1" applyAlignment="1">
      <alignment horizontal="center" vertical="center" wrapText="1"/>
    </xf>
    <xf numFmtId="0" fontId="2" fillId="2" borderId="31" xfId="376" applyFont="1" applyFill="1" applyBorder="1" applyAlignment="1">
      <alignment horizontal="left" wrapText="1"/>
    </xf>
    <xf numFmtId="0" fontId="2" fillId="2" borderId="32" xfId="376" applyFont="1" applyFill="1" applyBorder="1" applyAlignment="1">
      <alignment horizontal="left" wrapText="1"/>
    </xf>
    <xf numFmtId="0" fontId="2" fillId="2" borderId="31" xfId="380" applyFont="1" applyFill="1" applyBorder="1" applyAlignment="1">
      <alignment horizontal="center" wrapText="1"/>
    </xf>
    <xf numFmtId="0" fontId="2" fillId="2" borderId="18" xfId="380" applyFont="1" applyFill="1" applyBorder="1" applyAlignment="1">
      <alignment horizontal="center" wrapText="1"/>
    </xf>
    <xf numFmtId="0" fontId="2" fillId="2" borderId="20" xfId="379" applyFont="1" applyFill="1" applyBorder="1" applyAlignment="1">
      <alignment horizontal="center" wrapText="1"/>
    </xf>
    <xf numFmtId="0" fontId="2" fillId="2" borderId="31" xfId="379" applyFont="1" applyFill="1" applyBorder="1" applyAlignment="1">
      <alignment horizontal="center" wrapText="1"/>
    </xf>
    <xf numFmtId="0" fontId="39" fillId="2" borderId="31" xfId="405" applyFont="1" applyFill="1" applyBorder="1" applyAlignment="1">
      <alignment horizontal="left" vertical="center" wrapText="1"/>
    </xf>
    <xf numFmtId="0" fontId="28" fillId="2" borderId="31" xfId="405" applyFont="1" applyFill="1" applyBorder="1" applyAlignment="1">
      <alignment horizontal="left" vertical="center" wrapText="1"/>
    </xf>
    <xf numFmtId="0" fontId="37" fillId="0" borderId="3" xfId="409" applyFont="1" applyBorder="1" applyAlignment="1">
      <alignment horizontal="left" vertical="center" wrapText="1"/>
    </xf>
    <xf numFmtId="0" fontId="37" fillId="0" borderId="1" xfId="407" applyFont="1" applyBorder="1" applyAlignment="1">
      <alignment horizontal="left" vertical="center" wrapText="1"/>
    </xf>
    <xf numFmtId="0" fontId="21" fillId="0" borderId="133" xfId="410" applyFont="1" applyBorder="1" applyAlignment="1">
      <alignment horizontal="left" wrapText="1"/>
    </xf>
    <xf numFmtId="0" fontId="21" fillId="0" borderId="173" xfId="412" applyFont="1" applyBorder="1" applyAlignment="1">
      <alignment horizontal="left" wrapText="1"/>
    </xf>
    <xf numFmtId="0" fontId="21" fillId="0" borderId="117" xfId="417" applyFont="1" applyBorder="1" applyAlignment="1">
      <alignment horizontal="center" wrapText="1"/>
    </xf>
    <xf numFmtId="0" fontId="21" fillId="0" borderId="64" xfId="415" applyFont="1" applyBorder="1" applyAlignment="1">
      <alignment horizontal="center" wrapText="1"/>
    </xf>
    <xf numFmtId="0" fontId="21" fillId="0" borderId="139" xfId="415" applyFont="1" applyBorder="1" applyAlignment="1">
      <alignment horizontal="center" wrapText="1"/>
    </xf>
    <xf numFmtId="0" fontId="21" fillId="0" borderId="117" xfId="416" applyFont="1" applyBorder="1" applyAlignment="1">
      <alignment horizontal="center" wrapText="1"/>
    </xf>
    <xf numFmtId="0" fontId="21" fillId="0" borderId="118" xfId="415" applyFont="1" applyBorder="1" applyAlignment="1">
      <alignment horizontal="center" wrapText="1"/>
    </xf>
    <xf numFmtId="0" fontId="21" fillId="0" borderId="136" xfId="416" applyFont="1" applyBorder="1" applyAlignment="1">
      <alignment horizontal="center" wrapText="1"/>
    </xf>
    <xf numFmtId="0" fontId="21" fillId="0" borderId="114" xfId="1362" applyFont="1" applyFill="1" applyBorder="1" applyAlignment="1">
      <alignment horizontal="center"/>
    </xf>
    <xf numFmtId="0" fontId="21" fillId="0" borderId="110" xfId="1362" applyFont="1" applyFill="1" applyBorder="1" applyAlignment="1">
      <alignment horizontal="center"/>
    </xf>
    <xf numFmtId="0" fontId="23" fillId="2" borderId="31" xfId="1362" applyFont="1" applyAlignment="1">
      <alignment horizontal="left" vertical="center" wrapText="1"/>
    </xf>
    <xf numFmtId="0" fontId="21" fillId="0" borderId="117" xfId="1380" applyFont="1" applyFill="1" applyBorder="1" applyAlignment="1">
      <alignment horizontal="center" vertical="center" wrapText="1"/>
    </xf>
    <xf numFmtId="0" fontId="21" fillId="0" borderId="118" xfId="1380" applyFont="1" applyFill="1" applyBorder="1" applyAlignment="1">
      <alignment horizontal="center" vertical="center" wrapText="1"/>
    </xf>
    <xf numFmtId="0" fontId="21" fillId="0" borderId="136" xfId="1381" applyFont="1" applyFill="1" applyBorder="1" applyAlignment="1">
      <alignment horizontal="center" vertical="center" wrapText="1"/>
    </xf>
    <xf numFmtId="0" fontId="21" fillId="0" borderId="139" xfId="1381" applyFont="1" applyFill="1" applyBorder="1" applyAlignment="1">
      <alignment horizontal="center" vertical="center" wrapText="1"/>
    </xf>
    <xf numFmtId="0" fontId="21" fillId="0" borderId="117" xfId="1381" applyFont="1" applyFill="1" applyBorder="1" applyAlignment="1">
      <alignment horizontal="center" vertical="center" wrapText="1"/>
    </xf>
    <xf numFmtId="0" fontId="21" fillId="0" borderId="118" xfId="1381" applyFont="1" applyFill="1" applyBorder="1" applyAlignment="1">
      <alignment horizontal="center" vertical="center" wrapText="1"/>
    </xf>
    <xf numFmtId="0" fontId="8" fillId="2" borderId="117" xfId="1380" applyFont="1" applyFill="1" applyBorder="1" applyAlignment="1">
      <alignment horizontal="center" vertical="center" wrapText="1"/>
    </xf>
    <xf numFmtId="0" fontId="8" fillId="2" borderId="139" xfId="1380" applyFont="1" applyFill="1" applyBorder="1" applyAlignment="1">
      <alignment horizontal="center" vertical="center" wrapText="1"/>
    </xf>
    <xf numFmtId="0" fontId="8" fillId="2" borderId="117" xfId="1381" applyFont="1" applyFill="1" applyBorder="1" applyAlignment="1">
      <alignment horizontal="center" vertical="center" wrapText="1"/>
    </xf>
    <xf numFmtId="0" fontId="8" fillId="2" borderId="118" xfId="1381" applyFont="1" applyFill="1" applyBorder="1" applyAlignment="1">
      <alignment horizontal="center" vertical="center" wrapText="1"/>
    </xf>
    <xf numFmtId="0" fontId="8" fillId="2" borderId="136" xfId="1381" applyFont="1" applyFill="1" applyBorder="1" applyAlignment="1">
      <alignment horizontal="center" vertical="center" wrapText="1"/>
    </xf>
    <xf numFmtId="0" fontId="8" fillId="2" borderId="139" xfId="1381" applyFont="1" applyFill="1" applyBorder="1" applyAlignment="1">
      <alignment horizontal="center" vertical="center" wrapText="1"/>
    </xf>
    <xf numFmtId="0" fontId="8" fillId="2" borderId="136" xfId="1381" applyFont="1" applyBorder="1" applyAlignment="1">
      <alignment horizontal="center" vertical="center" wrapText="1"/>
    </xf>
    <xf numFmtId="0" fontId="8" fillId="2" borderId="118" xfId="1381" applyFont="1" applyBorder="1" applyAlignment="1">
      <alignment horizontal="center" vertical="center" wrapText="1"/>
    </xf>
    <xf numFmtId="0" fontId="39" fillId="2" borderId="31" xfId="1376" applyFont="1" applyFill="1" applyBorder="1" applyAlignment="1">
      <alignment horizontal="left" vertical="center" wrapText="1"/>
    </xf>
    <xf numFmtId="0" fontId="2" fillId="2" borderId="31" xfId="1379" applyFont="1" applyFill="1" applyBorder="1" applyAlignment="1">
      <alignment horizontal="left" wrapText="1"/>
    </xf>
    <xf numFmtId="0" fontId="2" fillId="2" borderId="32" xfId="1379" applyFont="1" applyFill="1" applyBorder="1" applyAlignment="1">
      <alignment horizontal="left" wrapText="1"/>
    </xf>
    <xf numFmtId="0" fontId="2" fillId="2" borderId="31" xfId="1380" applyFont="1" applyFill="1" applyBorder="1" applyAlignment="1">
      <alignment horizontal="center" wrapText="1"/>
    </xf>
    <xf numFmtId="0" fontId="2" fillId="2" borderId="20" xfId="1381" applyFont="1" applyFill="1" applyBorder="1" applyAlignment="1">
      <alignment horizontal="center" wrapText="1"/>
    </xf>
    <xf numFmtId="0" fontId="2" fillId="2" borderId="31" xfId="1381" applyFont="1" applyFill="1" applyBorder="1" applyAlignment="1">
      <alignment horizontal="center" wrapText="1"/>
    </xf>
    <xf numFmtId="0" fontId="8" fillId="2" borderId="133" xfId="1379" applyFont="1" applyFill="1" applyBorder="1" applyAlignment="1">
      <alignment horizontal="left" wrapText="1"/>
    </xf>
    <xf numFmtId="0" fontId="8" fillId="2" borderId="173" xfId="1379" applyFont="1" applyFill="1" applyBorder="1" applyAlignment="1">
      <alignment horizontal="left" wrapText="1"/>
    </xf>
    <xf numFmtId="49" fontId="2" fillId="2" borderId="31" xfId="551" applyNumberFormat="1" applyFont="1" applyFill="1" applyBorder="1" applyAlignment="1">
      <alignment horizontal="left" wrapText="1"/>
    </xf>
    <xf numFmtId="49" fontId="2" fillId="2" borderId="32" xfId="552" applyNumberFormat="1" applyFont="1" applyFill="1" applyBorder="1" applyAlignment="1">
      <alignment horizontal="left" wrapText="1"/>
    </xf>
    <xf numFmtId="0" fontId="39" fillId="0" borderId="31" xfId="550" applyFont="1" applyBorder="1" applyAlignment="1">
      <alignment horizontal="left" vertical="center" wrapText="1"/>
    </xf>
    <xf numFmtId="0" fontId="39" fillId="0" borderId="3" xfId="550" applyFont="1" applyBorder="1" applyAlignment="1">
      <alignment horizontal="left" vertical="top" wrapText="1"/>
    </xf>
    <xf numFmtId="0" fontId="39" fillId="0" borderId="1" xfId="548" applyFont="1" applyBorder="1" applyAlignment="1">
      <alignment horizontal="left" vertical="top" wrapText="1"/>
    </xf>
    <xf numFmtId="0" fontId="39" fillId="0" borderId="2" xfId="549" applyFont="1" applyBorder="1" applyAlignment="1">
      <alignment horizontal="left" vertical="top" wrapText="1"/>
    </xf>
    <xf numFmtId="0" fontId="2" fillId="2" borderId="31" xfId="551" applyFont="1" applyFill="1" applyBorder="1" applyAlignment="1">
      <alignment horizontal="left" wrapText="1"/>
    </xf>
    <xf numFmtId="0" fontId="2" fillId="2" borderId="32" xfId="552" applyFont="1" applyFill="1" applyBorder="1" applyAlignment="1">
      <alignment horizontal="left" wrapText="1"/>
    </xf>
    <xf numFmtId="0" fontId="1" fillId="0" borderId="3" xfId="550" applyFont="1" applyBorder="1" applyAlignment="1">
      <alignment horizontal="center" vertical="center" wrapText="1"/>
    </xf>
    <xf numFmtId="0" fontId="1" fillId="0" borderId="1" xfId="548" applyFont="1" applyBorder="1" applyAlignment="1">
      <alignment horizontal="center" vertical="center" wrapText="1"/>
    </xf>
    <xf numFmtId="0" fontId="1" fillId="0" borderId="2" xfId="549" applyFont="1" applyBorder="1" applyAlignment="1">
      <alignment horizontal="center" vertical="center" wrapText="1"/>
    </xf>
    <xf numFmtId="0" fontId="12" fillId="2" borderId="3" xfId="550" applyFont="1" applyFill="1" applyBorder="1" applyAlignment="1">
      <alignment horizontal="center" vertical="center" wrapText="1"/>
    </xf>
    <xf numFmtId="0" fontId="1" fillId="2" borderId="1" xfId="548" applyFont="1" applyFill="1" applyBorder="1" applyAlignment="1">
      <alignment horizontal="center" vertical="center" wrapText="1"/>
    </xf>
    <xf numFmtId="0" fontId="1" fillId="2" borderId="2" xfId="549" applyFont="1" applyFill="1" applyBorder="1" applyAlignment="1">
      <alignment horizontal="center" vertical="center" wrapText="1"/>
    </xf>
    <xf numFmtId="0" fontId="12" fillId="0" borderId="31" xfId="550" applyFont="1" applyBorder="1" applyAlignment="1">
      <alignment horizontal="center" vertical="center" wrapText="1"/>
    </xf>
    <xf numFmtId="0" fontId="1" fillId="2" borderId="3" xfId="550" applyFont="1" applyFill="1" applyBorder="1" applyAlignment="1">
      <alignment horizontal="center" vertical="center" wrapText="1"/>
    </xf>
    <xf numFmtId="0" fontId="8" fillId="0" borderId="117" xfId="582" applyFont="1" applyBorder="1" applyAlignment="1">
      <alignment horizontal="center" wrapText="1"/>
    </xf>
    <xf numFmtId="0" fontId="8" fillId="0" borderId="118" xfId="582" applyFont="1" applyBorder="1" applyAlignment="1">
      <alignment horizontal="center" wrapText="1"/>
    </xf>
    <xf numFmtId="0" fontId="8" fillId="0" borderId="117" xfId="581" applyFont="1" applyBorder="1" applyAlignment="1">
      <alignment horizontal="center" wrapText="1"/>
    </xf>
    <xf numFmtId="0" fontId="8" fillId="0" borderId="118" xfId="581" applyFont="1" applyBorder="1" applyAlignment="1">
      <alignment horizontal="center" wrapText="1"/>
    </xf>
    <xf numFmtId="0" fontId="8" fillId="0" borderId="133" xfId="578" applyFont="1" applyBorder="1" applyAlignment="1">
      <alignment horizontal="left" wrapText="1"/>
    </xf>
    <xf numFmtId="0" fontId="8" fillId="0" borderId="173" xfId="579" applyFont="1" applyBorder="1" applyAlignment="1">
      <alignment horizontal="left" wrapText="1"/>
    </xf>
    <xf numFmtId="0" fontId="39" fillId="0" borderId="3" xfId="577" applyFont="1" applyBorder="1" applyAlignment="1">
      <alignment horizontal="left" vertical="center" wrapText="1"/>
    </xf>
    <xf numFmtId="0" fontId="39" fillId="0" borderId="31" xfId="577" applyFont="1" applyBorder="1" applyAlignment="1">
      <alignment horizontal="left" vertical="center" wrapText="1"/>
    </xf>
    <xf numFmtId="0" fontId="39" fillId="0" borderId="1" xfId="575" applyFont="1" applyBorder="1" applyAlignment="1">
      <alignment horizontal="left" vertical="center" wrapText="1"/>
    </xf>
    <xf numFmtId="0" fontId="39" fillId="0" borderId="31" xfId="575" applyFont="1" applyBorder="1" applyAlignment="1">
      <alignment horizontal="left" vertical="center" wrapText="1"/>
    </xf>
    <xf numFmtId="0" fontId="2" fillId="0" borderId="119" xfId="582" applyFont="1" applyBorder="1" applyAlignment="1">
      <alignment horizontal="center" wrapText="1"/>
    </xf>
    <xf numFmtId="0" fontId="2" fillId="0" borderId="120" xfId="582" applyFont="1" applyBorder="1" applyAlignment="1">
      <alignment horizontal="center" wrapText="1"/>
    </xf>
    <xf numFmtId="0" fontId="2" fillId="0" borderId="119" xfId="581" applyFont="1" applyBorder="1" applyAlignment="1">
      <alignment horizontal="center" wrapText="1"/>
    </xf>
    <xf numFmtId="0" fontId="2" fillId="0" borderId="120" xfId="581" applyFont="1" applyBorder="1" applyAlignment="1">
      <alignment horizontal="center" wrapText="1"/>
    </xf>
    <xf numFmtId="0" fontId="3" fillId="2" borderId="122" xfId="602" applyFont="1" applyFill="1" applyBorder="1" applyAlignment="1">
      <alignment horizontal="left" vertical="top" wrapText="1"/>
    </xf>
    <xf numFmtId="0" fontId="1" fillId="2" borderId="123" xfId="577" applyFont="1" applyFill="1" applyBorder="1" applyAlignment="1">
      <alignment horizontal="center" vertical="center" wrapText="1"/>
    </xf>
    <xf numFmtId="0" fontId="2" fillId="2" borderId="121" xfId="578" applyFont="1" applyFill="1" applyBorder="1" applyAlignment="1">
      <alignment horizontal="left" wrapText="1"/>
    </xf>
    <xf numFmtId="0" fontId="2" fillId="2" borderId="57" xfId="578" applyFont="1" applyFill="1" applyBorder="1" applyAlignment="1">
      <alignment horizontal="left" wrapText="1"/>
    </xf>
    <xf numFmtId="0" fontId="8" fillId="0" borderId="117" xfId="611" applyFont="1" applyBorder="1" applyAlignment="1">
      <alignment horizontal="center" vertical="center" wrapText="1"/>
    </xf>
    <xf numFmtId="0" fontId="8" fillId="0" borderId="118" xfId="611" applyFont="1" applyBorder="1" applyAlignment="1">
      <alignment horizontal="center" vertical="center" wrapText="1"/>
    </xf>
    <xf numFmtId="0" fontId="8" fillId="0" borderId="117" xfId="610" applyFont="1" applyBorder="1" applyAlignment="1">
      <alignment horizontal="center" vertical="center" wrapText="1"/>
    </xf>
    <xf numFmtId="0" fontId="8" fillId="0" borderId="118" xfId="610" applyFont="1" applyBorder="1" applyAlignment="1">
      <alignment horizontal="center" vertical="center" wrapText="1"/>
    </xf>
    <xf numFmtId="0" fontId="8" fillId="0" borderId="133" xfId="607" applyFont="1" applyBorder="1" applyAlignment="1">
      <alignment horizontal="left" vertical="center" wrapText="1"/>
    </xf>
    <xf numFmtId="0" fontId="8" fillId="0" borderId="173" xfId="608" applyFont="1" applyBorder="1" applyAlignment="1">
      <alignment horizontal="left" vertical="center" wrapText="1"/>
    </xf>
    <xf numFmtId="0" fontId="23" fillId="0" borderId="0" xfId="0" applyFont="1" applyAlignment="1">
      <alignment horizontal="left" vertical="center"/>
    </xf>
    <xf numFmtId="0" fontId="3" fillId="2" borderId="3" xfId="631" applyFont="1" applyFill="1" applyBorder="1" applyAlignment="1">
      <alignment horizontal="left" vertical="top" wrapText="1"/>
    </xf>
    <xf numFmtId="0" fontId="3" fillId="2" borderId="31" xfId="631" applyFont="1" applyFill="1" applyBorder="1" applyAlignment="1">
      <alignment horizontal="left" vertical="top" wrapText="1"/>
    </xf>
    <xf numFmtId="0" fontId="3" fillId="2" borderId="16" xfId="629" applyFont="1" applyFill="1" applyBorder="1" applyAlignment="1">
      <alignment horizontal="left" vertical="top" wrapText="1"/>
    </xf>
    <xf numFmtId="0" fontId="3" fillId="2" borderId="31" xfId="629" applyFont="1" applyFill="1" applyBorder="1" applyAlignment="1">
      <alignment horizontal="left" vertical="top" wrapText="1"/>
    </xf>
    <xf numFmtId="0" fontId="1" fillId="2" borderId="3" xfId="606" applyFont="1" applyFill="1" applyBorder="1" applyAlignment="1">
      <alignment horizontal="center" vertical="center" wrapText="1"/>
    </xf>
    <xf numFmtId="0" fontId="1" fillId="2" borderId="31" xfId="606" applyFont="1" applyFill="1" applyBorder="1" applyAlignment="1">
      <alignment horizontal="center" vertical="center" wrapText="1"/>
    </xf>
    <xf numFmtId="0" fontId="1" fillId="2" borderId="1" xfId="604" applyFont="1" applyFill="1" applyBorder="1" applyAlignment="1">
      <alignment horizontal="center" vertical="center" wrapText="1"/>
    </xf>
    <xf numFmtId="0" fontId="1" fillId="2" borderId="31" xfId="604" applyFont="1" applyFill="1" applyBorder="1" applyAlignment="1">
      <alignment horizontal="center" vertical="center" wrapText="1"/>
    </xf>
    <xf numFmtId="0" fontId="2" fillId="2" borderId="51" xfId="607" applyFont="1" applyFill="1" applyBorder="1" applyAlignment="1">
      <alignment horizontal="left" wrapText="1"/>
    </xf>
    <xf numFmtId="0" fontId="2" fillId="2" borderId="51" xfId="608" applyFont="1" applyFill="1" applyBorder="1" applyAlignment="1">
      <alignment horizontal="left" wrapText="1"/>
    </xf>
    <xf numFmtId="0" fontId="2" fillId="2" borderId="31" xfId="1375" applyFont="1" applyAlignment="1">
      <alignment horizontal="left" wrapText="1"/>
    </xf>
    <xf numFmtId="0" fontId="2" fillId="2" borderId="32" xfId="1373" applyFont="1" applyBorder="1" applyAlignment="1">
      <alignment horizontal="left" wrapText="1"/>
    </xf>
    <xf numFmtId="0" fontId="4" fillId="2" borderId="31" xfId="1362" applyAlignment="1">
      <alignment horizontal="center"/>
    </xf>
    <xf numFmtId="0" fontId="8" fillId="0" borderId="31" xfId="1374" applyFont="1" applyFill="1" applyAlignment="1">
      <alignment horizontal="center"/>
    </xf>
    <xf numFmtId="0" fontId="8" fillId="0" borderId="18" xfId="1374" applyFont="1" applyFill="1" applyBorder="1" applyAlignment="1">
      <alignment horizontal="center"/>
    </xf>
    <xf numFmtId="0" fontId="13" fillId="2" borderId="31" xfId="1180" applyFont="1" applyAlignment="1">
      <alignment horizontal="center" vertical="center" wrapText="1"/>
    </xf>
    <xf numFmtId="0" fontId="14" fillId="2" borderId="62" xfId="1181" applyFont="1" applyBorder="1" applyAlignment="1">
      <alignment horizontal="left" wrapText="1"/>
    </xf>
    <xf numFmtId="0" fontId="14" fillId="2" borderId="66" xfId="1182" applyFont="1" applyBorder="1" applyAlignment="1">
      <alignment horizontal="left" wrapText="1"/>
    </xf>
    <xf numFmtId="0" fontId="14" fillId="2" borderId="63" xfId="1184" applyFont="1" applyBorder="1" applyAlignment="1">
      <alignment horizontal="left" wrapText="1"/>
    </xf>
    <xf numFmtId="0" fontId="14" fillId="2" borderId="68" xfId="1185" applyFont="1" applyBorder="1" applyAlignment="1">
      <alignment horizontal="left" wrapText="1"/>
    </xf>
    <xf numFmtId="0" fontId="14" fillId="2" borderId="61" xfId="1199" applyFont="1" applyBorder="1" applyAlignment="1">
      <alignment horizontal="left" wrapText="1"/>
    </xf>
    <xf numFmtId="0" fontId="14" fillId="2" borderId="76" xfId="1200" applyFont="1" applyBorder="1" applyAlignment="1">
      <alignment horizontal="left" wrapText="1"/>
    </xf>
    <xf numFmtId="0" fontId="14" fillId="2" borderId="73" xfId="1197" applyFont="1" applyBorder="1" applyAlignment="1">
      <alignment horizontal="center" wrapText="1"/>
    </xf>
    <xf numFmtId="0" fontId="14" fillId="2" borderId="67" xfId="1183" applyFont="1" applyBorder="1" applyAlignment="1">
      <alignment horizontal="center" wrapText="1"/>
    </xf>
    <xf numFmtId="0" fontId="14" fillId="2" borderId="55" xfId="1183" applyFont="1" applyBorder="1" applyAlignment="1">
      <alignment horizontal="center" wrapText="1"/>
    </xf>
    <xf numFmtId="0" fontId="14" fillId="2" borderId="62" xfId="1187" applyFont="1" applyBorder="1" applyAlignment="1">
      <alignment horizontal="left" vertical="top" wrapText="1"/>
    </xf>
    <xf numFmtId="0" fontId="14" fillId="2" borderId="66" xfId="1188" applyFont="1" applyBorder="1" applyAlignment="1">
      <alignment horizontal="left" vertical="top" wrapText="1"/>
    </xf>
    <xf numFmtId="0" fontId="14" fillId="2" borderId="63" xfId="1190" applyFont="1" applyBorder="1" applyAlignment="1">
      <alignment horizontal="left" vertical="top" wrapText="1"/>
    </xf>
    <xf numFmtId="0" fontId="14" fillId="2" borderId="68" xfId="1191" applyFont="1" applyBorder="1" applyAlignment="1">
      <alignment horizontal="left" vertical="top" wrapText="1"/>
    </xf>
    <xf numFmtId="0" fontId="14" fillId="2" borderId="31" xfId="1190" applyFont="1" applyAlignment="1">
      <alignment horizontal="left" vertical="top" wrapText="1"/>
    </xf>
    <xf numFmtId="0" fontId="14" fillId="2" borderId="31" xfId="1208" applyFont="1" applyAlignment="1">
      <alignment horizontal="left" vertical="top" wrapText="1"/>
    </xf>
    <xf numFmtId="0" fontId="38" fillId="2" borderId="31" xfId="1180" applyFont="1" applyAlignment="1">
      <alignment horizontal="left" vertical="center" wrapText="1"/>
    </xf>
    <xf numFmtId="0" fontId="38" fillId="2" borderId="31" xfId="1191" applyFont="1" applyAlignment="1">
      <alignment horizontal="left" vertical="center" wrapText="1"/>
    </xf>
    <xf numFmtId="0" fontId="13" fillId="2" borderId="100" xfId="1337" applyFont="1" applyFill="1" applyBorder="1" applyAlignment="1">
      <alignment horizontal="center" vertical="center" wrapText="1"/>
    </xf>
    <xf numFmtId="0" fontId="14" fillId="2" borderId="52" xfId="1338" applyFont="1" applyFill="1" applyBorder="1" applyAlignment="1">
      <alignment horizontal="left" wrapText="1"/>
    </xf>
    <xf numFmtId="0" fontId="14" fillId="2" borderId="112" xfId="1342" applyFont="1" applyFill="1" applyBorder="1" applyAlignment="1">
      <alignment horizontal="left" wrapText="1"/>
    </xf>
    <xf numFmtId="0" fontId="13" fillId="2" borderId="31" xfId="1337" applyFont="1" applyFill="1" applyBorder="1" applyAlignment="1">
      <alignment horizontal="center" vertical="center" wrapText="1"/>
    </xf>
    <xf numFmtId="0" fontId="37" fillId="2" borderId="31" xfId="1362" applyFont="1" applyAlignment="1">
      <alignment horizontal="left" vertical="center" wrapText="1"/>
    </xf>
    <xf numFmtId="0" fontId="10" fillId="2" borderId="35" xfId="632" applyFont="1" applyBorder="1" applyAlignment="1">
      <alignment horizontal="center" wrapText="1"/>
    </xf>
    <xf numFmtId="0" fontId="10" fillId="2" borderId="36" xfId="632" applyFont="1" applyBorder="1" applyAlignment="1">
      <alignment horizontal="center" wrapText="1"/>
    </xf>
    <xf numFmtId="0" fontId="3" fillId="2" borderId="31" xfId="67" applyFont="1" applyFill="1" applyBorder="1" applyAlignment="1">
      <alignment horizontal="left" vertical="top" wrapText="1"/>
    </xf>
    <xf numFmtId="0" fontId="3" fillId="2" borderId="31" xfId="65" applyFont="1" applyFill="1" applyBorder="1" applyAlignment="1">
      <alignment horizontal="left" vertical="top" wrapText="1"/>
    </xf>
    <xf numFmtId="0" fontId="1" fillId="2" borderId="31" xfId="28" applyFont="1" applyFill="1" applyBorder="1" applyAlignment="1">
      <alignment horizontal="center" vertical="center" wrapText="1"/>
    </xf>
    <xf numFmtId="0" fontId="1" fillId="2" borderId="31" xfId="26" applyFont="1" applyFill="1" applyBorder="1" applyAlignment="1">
      <alignment horizontal="center" vertical="center" wrapText="1"/>
    </xf>
    <xf numFmtId="0" fontId="2" fillId="2" borderId="51" xfId="36" applyFont="1" applyFill="1" applyBorder="1" applyAlignment="1">
      <alignment horizontal="center" wrapText="1"/>
    </xf>
    <xf numFmtId="0" fontId="2" fillId="2" borderId="51" xfId="34" applyFont="1" applyFill="1" applyBorder="1" applyAlignment="1">
      <alignment horizontal="center" wrapText="1"/>
    </xf>
    <xf numFmtId="0" fontId="2" fillId="2" borderId="119" xfId="34" applyFont="1" applyFill="1" applyBorder="1" applyAlignment="1">
      <alignment horizontal="center" wrapText="1"/>
    </xf>
    <xf numFmtId="0" fontId="2" fillId="2" borderId="120" xfId="34" applyFont="1" applyFill="1" applyBorder="1" applyAlignment="1">
      <alignment horizontal="center" wrapText="1"/>
    </xf>
    <xf numFmtId="0" fontId="33" fillId="2" borderId="51" xfId="35" applyFont="1" applyFill="1" applyBorder="1" applyAlignment="1">
      <alignment horizontal="center" wrapText="1"/>
    </xf>
    <xf numFmtId="0" fontId="33" fillId="2" borderId="51" xfId="34" applyFont="1" applyFill="1" applyBorder="1" applyAlignment="1">
      <alignment horizontal="center" wrapText="1"/>
    </xf>
    <xf numFmtId="0" fontId="2" fillId="2" borderId="31" xfId="36" applyFont="1" applyFill="1" applyBorder="1" applyAlignment="1">
      <alignment horizontal="center" wrapText="1"/>
    </xf>
    <xf numFmtId="0" fontId="2" fillId="2" borderId="19" xfId="34" applyFont="1" applyFill="1" applyBorder="1" applyAlignment="1">
      <alignment horizontal="center" wrapText="1"/>
    </xf>
    <xf numFmtId="0" fontId="2" fillId="2" borderId="20" xfId="34" applyFont="1" applyFill="1" applyBorder="1" applyAlignment="1">
      <alignment horizontal="center" wrapText="1"/>
    </xf>
    <xf numFmtId="0" fontId="2" fillId="2" borderId="18" xfId="34" applyFont="1" applyFill="1" applyBorder="1" applyAlignment="1">
      <alignment horizontal="center" wrapText="1"/>
    </xf>
    <xf numFmtId="0" fontId="2" fillId="2" borderId="20" xfId="35" applyFont="1" applyFill="1" applyBorder="1" applyAlignment="1">
      <alignment horizontal="center" wrapText="1"/>
    </xf>
    <xf numFmtId="0" fontId="23" fillId="0" borderId="31" xfId="0" applyFont="1" applyBorder="1" applyAlignment="1">
      <alignment horizontal="left" vertical="center" wrapText="1"/>
    </xf>
    <xf numFmtId="0" fontId="8" fillId="0" borderId="133" xfId="0" applyFont="1" applyBorder="1" applyAlignment="1">
      <alignment horizontal="center" vertical="center" wrapText="1"/>
    </xf>
    <xf numFmtId="0" fontId="8" fillId="0" borderId="173" xfId="0" applyFont="1" applyBorder="1" applyAlignment="1">
      <alignment horizontal="center" vertical="center" wrapText="1"/>
    </xf>
    <xf numFmtId="0" fontId="8" fillId="0" borderId="117" xfId="0" applyFont="1" applyBorder="1" applyAlignment="1">
      <alignment horizontal="center" vertical="center"/>
    </xf>
    <xf numFmtId="0" fontId="8" fillId="0" borderId="118" xfId="0" applyFont="1" applyBorder="1" applyAlignment="1">
      <alignment horizontal="center" vertical="center"/>
    </xf>
    <xf numFmtId="0" fontId="8" fillId="0" borderId="136" xfId="0" applyFont="1" applyBorder="1" applyAlignment="1">
      <alignment horizontal="center" vertical="center"/>
    </xf>
    <xf numFmtId="0" fontId="37" fillId="0" borderId="31" xfId="0" applyFont="1" applyBorder="1" applyAlignment="1">
      <alignment horizontal="left" vertical="center" wrapText="1"/>
    </xf>
    <xf numFmtId="0" fontId="39" fillId="2" borderId="31" xfId="662" applyFont="1" applyAlignment="1">
      <alignment horizontal="left" vertical="center" wrapText="1"/>
    </xf>
    <xf numFmtId="0" fontId="39" fillId="2" borderId="31" xfId="663" applyFont="1" applyAlignment="1">
      <alignment horizontal="left" vertical="center" wrapText="1"/>
    </xf>
    <xf numFmtId="0" fontId="39" fillId="2" borderId="31" xfId="664" applyFont="1" applyAlignment="1">
      <alignment horizontal="left" vertical="center" wrapText="1"/>
    </xf>
    <xf numFmtId="0" fontId="2" fillId="2" borderId="214" xfId="665" applyFont="1" applyBorder="1" applyAlignment="1">
      <alignment horizontal="left" wrapText="1"/>
    </xf>
    <xf numFmtId="0" fontId="2" fillId="2" borderId="215" xfId="665" applyFont="1" applyBorder="1" applyAlignment="1">
      <alignment horizontal="left" wrapText="1"/>
    </xf>
    <xf numFmtId="0" fontId="2" fillId="8" borderId="218" xfId="670" applyFont="1" applyFill="1" applyBorder="1" applyAlignment="1">
      <alignment horizontal="left" vertical="center" wrapText="1"/>
    </xf>
    <xf numFmtId="0" fontId="2" fillId="8" borderId="222" xfId="670" applyFont="1" applyFill="1" applyBorder="1" applyAlignment="1">
      <alignment horizontal="left" vertical="center" wrapText="1"/>
    </xf>
    <xf numFmtId="0" fontId="3" fillId="2" borderId="31" xfId="680" applyFont="1" applyBorder="1" applyAlignment="1">
      <alignment horizontal="left" vertical="top" wrapText="1"/>
    </xf>
    <xf numFmtId="0" fontId="39" fillId="2" borderId="31" xfId="683" applyFont="1" applyAlignment="1">
      <alignment horizontal="left" vertical="center" wrapText="1"/>
    </xf>
    <xf numFmtId="0" fontId="3" fillId="2" borderId="31" xfId="710" applyFont="1" applyAlignment="1">
      <alignment horizontal="left" vertical="top" wrapText="1"/>
    </xf>
    <xf numFmtId="0" fontId="3" fillId="2" borderId="31" xfId="711" applyFont="1" applyAlignment="1">
      <alignment horizontal="left" vertical="top" wrapText="1"/>
    </xf>
    <xf numFmtId="0" fontId="3" fillId="2" borderId="31" xfId="712" applyFont="1" applyAlignment="1">
      <alignment horizontal="left" vertical="top" wrapText="1"/>
    </xf>
    <xf numFmtId="0" fontId="37" fillId="2" borderId="31" xfId="713" applyFont="1" applyAlignment="1">
      <alignment horizontal="left" vertical="center" wrapText="1"/>
    </xf>
    <xf numFmtId="0" fontId="37" fillId="2" borderId="31" xfId="714" applyFont="1" applyAlignment="1">
      <alignment horizontal="left" vertical="center" wrapText="1"/>
    </xf>
    <xf numFmtId="0" fontId="37" fillId="2" borderId="31" xfId="715" applyFont="1" applyAlignment="1">
      <alignment horizontal="left" vertical="center" wrapText="1"/>
    </xf>
    <xf numFmtId="0" fontId="23" fillId="0" borderId="0" xfId="0" applyFont="1" applyAlignment="1">
      <alignment horizontal="left" wrapText="1"/>
    </xf>
    <xf numFmtId="0" fontId="1" fillId="2" borderId="31" xfId="1007" applyFont="1" applyAlignment="1">
      <alignment horizontal="center" vertical="center" wrapText="1"/>
    </xf>
    <xf numFmtId="0" fontId="1" fillId="2" borderId="31" xfId="1008" applyFont="1" applyAlignment="1">
      <alignment horizontal="center" vertical="center" wrapText="1"/>
    </xf>
    <xf numFmtId="0" fontId="1" fillId="2" borderId="31" xfId="1009" applyFont="1" applyAlignment="1">
      <alignment horizontal="center" vertical="center" wrapText="1"/>
    </xf>
    <xf numFmtId="0" fontId="3" fillId="2" borderId="31" xfId="1051" applyFont="1" applyAlignment="1">
      <alignment horizontal="left" vertical="top" wrapText="1"/>
    </xf>
    <xf numFmtId="0" fontId="3" fillId="2" borderId="31" xfId="1052" applyFont="1" applyAlignment="1">
      <alignment horizontal="left" vertical="top" wrapText="1"/>
    </xf>
    <xf numFmtId="0" fontId="3" fillId="2" borderId="31" xfId="1053" applyFont="1" applyAlignment="1">
      <alignment horizontal="left" vertical="top" wrapText="1"/>
    </xf>
    <xf numFmtId="0" fontId="39" fillId="2" borderId="31" xfId="1007" applyFont="1" applyAlignment="1">
      <alignment horizontal="left" vertical="center" wrapText="1"/>
    </xf>
    <xf numFmtId="0" fontId="39" fillId="2" borderId="31" xfId="1008" applyFont="1" applyAlignment="1">
      <alignment horizontal="left" vertical="center" wrapText="1"/>
    </xf>
    <xf numFmtId="0" fontId="39" fillId="2" borderId="31" xfId="1009" applyFont="1" applyAlignment="1">
      <alignment horizontal="left" vertical="center" wrapText="1"/>
    </xf>
    <xf numFmtId="0" fontId="8" fillId="0" borderId="133" xfId="1029" applyFont="1" applyFill="1" applyBorder="1" applyAlignment="1">
      <alignment horizontal="left" wrapText="1"/>
    </xf>
    <xf numFmtId="0" fontId="8" fillId="0" borderId="173" xfId="1033" applyFont="1" applyFill="1" applyBorder="1" applyAlignment="1">
      <alignment horizontal="left" wrapText="1"/>
    </xf>
    <xf numFmtId="0" fontId="8" fillId="0" borderId="117" xfId="1030" applyFont="1" applyFill="1" applyBorder="1" applyAlignment="1">
      <alignment horizontal="center" wrapText="1"/>
    </xf>
    <xf numFmtId="0" fontId="8" fillId="0" borderId="118" xfId="1031" applyFont="1" applyFill="1" applyBorder="1" applyAlignment="1">
      <alignment horizontal="center" wrapText="1"/>
    </xf>
    <xf numFmtId="0" fontId="8" fillId="0" borderId="136" xfId="1031" applyFont="1" applyFill="1" applyBorder="1" applyAlignment="1">
      <alignment horizontal="center" wrapText="1"/>
    </xf>
    <xf numFmtId="0" fontId="8" fillId="0" borderId="118" xfId="1032" applyFont="1" applyFill="1" applyBorder="1" applyAlignment="1">
      <alignment horizontal="center" wrapText="1"/>
    </xf>
    <xf numFmtId="0" fontId="1" fillId="2" borderId="31" xfId="1054" applyFont="1" applyAlignment="1">
      <alignment horizontal="center" vertical="center" wrapText="1"/>
    </xf>
    <xf numFmtId="0" fontId="1" fillId="2" borderId="31" xfId="1055" applyFont="1" applyAlignment="1">
      <alignment horizontal="center" vertical="center" wrapText="1"/>
    </xf>
    <xf numFmtId="0" fontId="1" fillId="2" borderId="31" xfId="1056" applyFont="1" applyAlignment="1">
      <alignment horizontal="center" vertical="center" wrapText="1"/>
    </xf>
    <xf numFmtId="0" fontId="39" fillId="0" borderId="31" xfId="1054" applyFont="1" applyFill="1" applyAlignment="1">
      <alignment horizontal="left" vertical="center" wrapText="1"/>
    </xf>
    <xf numFmtId="0" fontId="39" fillId="0" borderId="31" xfId="1055" applyFont="1" applyFill="1" applyAlignment="1">
      <alignment horizontal="left" vertical="center" wrapText="1"/>
    </xf>
    <xf numFmtId="0" fontId="39" fillId="0" borderId="31" xfId="1056" applyFont="1" applyFill="1" applyAlignment="1">
      <alignment horizontal="left" vertical="center" wrapText="1"/>
    </xf>
    <xf numFmtId="0" fontId="8" fillId="0" borderId="114" xfId="1076" applyFont="1" applyFill="1" applyBorder="1" applyAlignment="1">
      <alignment horizontal="left" wrapText="1"/>
    </xf>
    <xf numFmtId="0" fontId="8" fillId="0" borderId="110" xfId="1080" applyFont="1" applyFill="1" applyBorder="1" applyAlignment="1">
      <alignment horizontal="left" wrapText="1"/>
    </xf>
    <xf numFmtId="0" fontId="8" fillId="0" borderId="117" xfId="1077" applyFont="1" applyFill="1" applyBorder="1" applyAlignment="1">
      <alignment horizontal="center" vertical="center" wrapText="1"/>
    </xf>
    <xf numFmtId="0" fontId="8" fillId="0" borderId="139" xfId="1078" applyFont="1" applyFill="1" applyBorder="1" applyAlignment="1">
      <alignment horizontal="center" vertical="center" wrapText="1"/>
    </xf>
    <xf numFmtId="0" fontId="8" fillId="0" borderId="117" xfId="1078" applyFont="1" applyFill="1" applyBorder="1" applyAlignment="1">
      <alignment horizontal="center" vertical="center" wrapText="1"/>
    </xf>
    <xf numFmtId="0" fontId="8" fillId="0" borderId="118" xfId="1078" applyFont="1" applyFill="1" applyBorder="1" applyAlignment="1">
      <alignment horizontal="center" vertical="center" wrapText="1"/>
    </xf>
    <xf numFmtId="0" fontId="3" fillId="2" borderId="31" xfId="1098" applyFont="1" applyAlignment="1">
      <alignment horizontal="left" vertical="top" wrapText="1"/>
    </xf>
    <xf numFmtId="0" fontId="3" fillId="2" borderId="31" xfId="1099" applyFont="1" applyAlignment="1">
      <alignment horizontal="left" vertical="top" wrapText="1"/>
    </xf>
    <xf numFmtId="0" fontId="3" fillId="2" borderId="31" xfId="1100" applyFont="1" applyAlignment="1">
      <alignment horizontal="left" vertical="top" wrapText="1"/>
    </xf>
    <xf numFmtId="0" fontId="39" fillId="2" borderId="31" xfId="1101" applyFont="1" applyAlignment="1">
      <alignment horizontal="left" vertical="top" wrapText="1"/>
    </xf>
    <xf numFmtId="0" fontId="35" fillId="2" borderId="31" xfId="1101" applyFont="1" applyAlignment="1">
      <alignment horizontal="left" vertical="center" wrapText="1"/>
    </xf>
    <xf numFmtId="0" fontId="29" fillId="2" borderId="31" xfId="1101" applyFont="1" applyAlignment="1">
      <alignment horizontal="left" vertical="center" wrapText="1"/>
    </xf>
    <xf numFmtId="0" fontId="46" fillId="0" borderId="117" xfId="1229" applyFont="1" applyFill="1" applyBorder="1" applyAlignment="1">
      <alignment horizontal="center" vertical="center" wrapText="1"/>
    </xf>
    <xf numFmtId="0" fontId="46" fillId="0" borderId="64" xfId="1229" applyFont="1" applyFill="1" applyBorder="1" applyAlignment="1">
      <alignment horizontal="center" vertical="center" wrapText="1"/>
    </xf>
    <xf numFmtId="0" fontId="46" fillId="0" borderId="64" xfId="1230" applyFont="1" applyFill="1" applyBorder="1" applyAlignment="1">
      <alignment horizontal="center" vertical="center" wrapText="1"/>
    </xf>
    <xf numFmtId="0" fontId="46" fillId="0" borderId="118" xfId="1230" applyFont="1" applyFill="1" applyBorder="1" applyAlignment="1">
      <alignment horizontal="center" vertical="center" wrapText="1"/>
    </xf>
    <xf numFmtId="0" fontId="31" fillId="0" borderId="31" xfId="856" applyFont="1" applyFill="1" applyAlignment="1">
      <alignment horizontal="left" vertical="top" wrapText="1"/>
    </xf>
    <xf numFmtId="0" fontId="31" fillId="0" borderId="31" xfId="857" applyFont="1" applyFill="1" applyAlignment="1">
      <alignment horizontal="left" vertical="top" wrapText="1"/>
    </xf>
    <xf numFmtId="0" fontId="31" fillId="0" borderId="31" xfId="858" applyFont="1" applyFill="1" applyAlignment="1">
      <alignment horizontal="left" vertical="top" wrapText="1"/>
    </xf>
    <xf numFmtId="0" fontId="3" fillId="2" borderId="31" xfId="882" applyFont="1" applyAlignment="1">
      <alignment horizontal="left" vertical="top" wrapText="1"/>
    </xf>
    <xf numFmtId="0" fontId="3" fillId="2" borderId="31" xfId="883" applyFont="1" applyAlignment="1">
      <alignment horizontal="left" vertical="top" wrapText="1"/>
    </xf>
    <xf numFmtId="0" fontId="3" fillId="2" borderId="31" xfId="884" applyFont="1" applyAlignment="1">
      <alignment horizontal="left" vertical="top" wrapText="1"/>
    </xf>
    <xf numFmtId="0" fontId="21" fillId="0" borderId="51" xfId="870" applyFont="1" applyFill="1" applyBorder="1" applyAlignment="1">
      <alignment horizontal="left" vertical="top" wrapText="1"/>
    </xf>
    <xf numFmtId="0" fontId="21" fillId="0" borderId="51" xfId="871" applyFont="1" applyFill="1" applyBorder="1" applyAlignment="1">
      <alignment horizontal="left" vertical="top" wrapText="1"/>
    </xf>
    <xf numFmtId="0" fontId="21" fillId="2" borderId="31" xfId="882" applyFont="1" applyAlignment="1">
      <alignment horizontal="left" vertical="top" wrapText="1"/>
    </xf>
    <xf numFmtId="0" fontId="21" fillId="2" borderId="31" xfId="883" applyFont="1" applyAlignment="1">
      <alignment horizontal="left" vertical="top" wrapText="1"/>
    </xf>
    <xf numFmtId="0" fontId="21" fillId="0" borderId="119" xfId="876" applyFont="1" applyFill="1" applyBorder="1" applyAlignment="1">
      <alignment horizontal="left" vertical="top" wrapText="1"/>
    </xf>
    <xf numFmtId="0" fontId="21" fillId="0" borderId="120" xfId="876" applyFont="1" applyFill="1" applyBorder="1" applyAlignment="1">
      <alignment horizontal="left" vertical="top" wrapText="1"/>
    </xf>
    <xf numFmtId="0" fontId="21" fillId="2" borderId="51" xfId="859" applyFont="1" applyBorder="1" applyAlignment="1">
      <alignment horizontal="left" wrapText="1"/>
    </xf>
    <xf numFmtId="0" fontId="21" fillId="2" borderId="51" xfId="860" applyFont="1" applyBorder="1" applyAlignment="1">
      <alignment horizontal="left" wrapText="1"/>
    </xf>
    <xf numFmtId="0" fontId="21" fillId="0" borderId="51" xfId="864" applyFont="1" applyFill="1" applyBorder="1" applyAlignment="1">
      <alignment horizontal="left" vertical="top" wrapText="1"/>
    </xf>
    <xf numFmtId="0" fontId="21" fillId="0" borderId="51" xfId="865" applyFont="1" applyFill="1" applyBorder="1" applyAlignment="1">
      <alignment horizontal="left" vertical="top" wrapText="1"/>
    </xf>
    <xf numFmtId="0" fontId="39" fillId="2" borderId="31" xfId="856" applyFont="1" applyAlignment="1">
      <alignment horizontal="left" vertical="center" wrapText="1"/>
    </xf>
    <xf numFmtId="0" fontId="39" fillId="2" borderId="31" xfId="501" applyFont="1" applyFill="1" applyBorder="1" applyAlignment="1">
      <alignment horizontal="left" vertical="center" wrapText="1"/>
    </xf>
    <xf numFmtId="0" fontId="2" fillId="2" borderId="133" xfId="502" applyFont="1" applyFill="1" applyBorder="1" applyAlignment="1">
      <alignment horizontal="left" wrapText="1"/>
    </xf>
    <xf numFmtId="0" fontId="2" fillId="2" borderId="173" xfId="504" applyFont="1" applyFill="1" applyBorder="1" applyAlignment="1">
      <alignment horizontal="left" wrapText="1"/>
    </xf>
    <xf numFmtId="0" fontId="21" fillId="2" borderId="117" xfId="508" applyFont="1" applyFill="1" applyBorder="1" applyAlignment="1">
      <alignment horizontal="center" vertical="center" wrapText="1"/>
    </xf>
    <xf numFmtId="0" fontId="21" fillId="2" borderId="118" xfId="507" applyFont="1" applyFill="1" applyBorder="1" applyAlignment="1">
      <alignment horizontal="center" vertical="center" wrapText="1"/>
    </xf>
    <xf numFmtId="0" fontId="21" fillId="0" borderId="117" xfId="508" applyFont="1" applyBorder="1" applyAlignment="1">
      <alignment horizontal="center" vertical="center" wrapText="1"/>
    </xf>
    <xf numFmtId="0" fontId="21" fillId="0" borderId="118" xfId="507" applyFont="1" applyBorder="1" applyAlignment="1">
      <alignment horizontal="center" vertical="center" wrapText="1"/>
    </xf>
    <xf numFmtId="0" fontId="21" fillId="2" borderId="117" xfId="509" applyFont="1" applyFill="1" applyBorder="1" applyAlignment="1">
      <alignment horizontal="center" vertical="center" wrapText="1"/>
    </xf>
    <xf numFmtId="0" fontId="39" fillId="2" borderId="31" xfId="951" applyFont="1" applyAlignment="1">
      <alignment horizontal="left" vertical="center" wrapText="1"/>
    </xf>
    <xf numFmtId="0" fontId="39" fillId="2" borderId="31" xfId="952" applyFont="1" applyAlignment="1">
      <alignment horizontal="left" vertical="center" wrapText="1"/>
    </xf>
    <xf numFmtId="0" fontId="39" fillId="2" borderId="31" xfId="953" applyFont="1" applyAlignment="1">
      <alignment horizontal="left" vertical="center" wrapText="1"/>
    </xf>
    <xf numFmtId="0" fontId="21" fillId="2" borderId="117" xfId="956" applyFont="1" applyBorder="1" applyAlignment="1">
      <alignment horizontal="center" vertical="center" wrapText="1"/>
    </xf>
    <xf numFmtId="0" fontId="21" fillId="2" borderId="64" xfId="958" applyFont="1" applyBorder="1" applyAlignment="1">
      <alignment horizontal="center" vertical="center" wrapText="1"/>
    </xf>
    <xf numFmtId="0" fontId="21" fillId="2" borderId="118" xfId="959" applyFont="1" applyBorder="1" applyAlignment="1">
      <alignment horizontal="center" vertical="center" wrapText="1"/>
    </xf>
    <xf numFmtId="0" fontId="0" fillId="0" borderId="87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8" fillId="0" borderId="156" xfId="1285" applyFont="1" applyFill="1" applyBorder="1" applyAlignment="1">
      <alignment horizontal="left" vertical="top" wrapText="1"/>
    </xf>
    <xf numFmtId="0" fontId="8" fillId="0" borderId="160" xfId="1289" applyFont="1" applyFill="1" applyBorder="1" applyAlignment="1">
      <alignment horizontal="left" vertical="top" wrapText="1"/>
    </xf>
    <xf numFmtId="0" fontId="8" fillId="0" borderId="192" xfId="1289" applyFont="1" applyFill="1" applyBorder="1" applyAlignment="1">
      <alignment horizontal="left" vertical="top" wrapText="1"/>
    </xf>
    <xf numFmtId="0" fontId="8" fillId="0" borderId="65" xfId="1293" applyFont="1" applyFill="1" applyBorder="1" applyAlignment="1">
      <alignment horizontal="left" vertical="top" wrapText="1"/>
    </xf>
    <xf numFmtId="0" fontId="8" fillId="0" borderId="187" xfId="1293" applyFont="1" applyFill="1" applyBorder="1" applyAlignment="1">
      <alignment horizontal="left" vertical="top" wrapText="1"/>
    </xf>
    <xf numFmtId="0" fontId="14" fillId="2" borderId="31" xfId="1296" applyFont="1" applyAlignment="1">
      <alignment horizontal="left" vertical="top" wrapText="1"/>
    </xf>
    <xf numFmtId="0" fontId="38" fillId="2" borderId="31" xfId="1276" applyFont="1" applyAlignment="1">
      <alignment horizontal="left" vertical="center" wrapText="1"/>
    </xf>
    <xf numFmtId="0" fontId="8" fillId="0" borderId="117" xfId="1279" applyFont="1" applyFill="1" applyBorder="1" applyAlignment="1">
      <alignment horizontal="center" vertical="center" wrapText="1"/>
    </xf>
    <xf numFmtId="0" fontId="8" fillId="0" borderId="139" xfId="1280" applyFont="1" applyFill="1" applyBorder="1" applyAlignment="1">
      <alignment horizontal="center" vertical="center" wrapText="1"/>
    </xf>
    <xf numFmtId="0" fontId="8" fillId="0" borderId="117" xfId="1280" applyFont="1" applyFill="1" applyBorder="1" applyAlignment="1">
      <alignment horizontal="center" vertical="center" wrapText="1"/>
    </xf>
    <xf numFmtId="0" fontId="8" fillId="0" borderId="118" xfId="1280" applyFont="1" applyFill="1" applyBorder="1" applyAlignment="1">
      <alignment horizontal="center" vertical="center" wrapText="1"/>
    </xf>
    <xf numFmtId="0" fontId="8" fillId="0" borderId="136" xfId="1280" applyFont="1" applyFill="1" applyBorder="1" applyAlignment="1">
      <alignment horizontal="center" vertical="center" wrapText="1"/>
    </xf>
    <xf numFmtId="0" fontId="8" fillId="0" borderId="87" xfId="1277" applyFont="1" applyFill="1" applyBorder="1" applyAlignment="1">
      <alignment horizontal="center" vertical="top" wrapText="1"/>
    </xf>
    <xf numFmtId="0" fontId="8" fillId="0" borderId="89" xfId="1277" applyFont="1" applyFill="1" applyBorder="1" applyAlignment="1">
      <alignment horizontal="center" vertical="top" wrapText="1"/>
    </xf>
    <xf numFmtId="0" fontId="8" fillId="0" borderId="93" xfId="1277" applyFont="1" applyFill="1" applyBorder="1" applyAlignment="1">
      <alignment horizontal="center" vertical="top" wrapText="1"/>
    </xf>
    <xf numFmtId="0" fontId="8" fillId="0" borderId="95" xfId="1277" applyFont="1" applyFill="1" applyBorder="1" applyAlignment="1">
      <alignment horizontal="center" vertical="top" wrapText="1"/>
    </xf>
    <xf numFmtId="0" fontId="38" fillId="2" borderId="31" xfId="1254" applyFont="1" applyAlignment="1">
      <alignment horizontal="left" vertical="center" wrapText="1"/>
    </xf>
    <xf numFmtId="167" fontId="14" fillId="2" borderId="133" xfId="1260" applyNumberFormat="1" applyFont="1" applyBorder="1" applyAlignment="1">
      <alignment horizontal="left" vertical="center" wrapText="1"/>
    </xf>
    <xf numFmtId="167" fontId="14" fillId="2" borderId="200" xfId="1265" applyNumberFormat="1" applyFont="1" applyBorder="1" applyAlignment="1">
      <alignment horizontal="left" vertical="center" wrapText="1"/>
    </xf>
    <xf numFmtId="167" fontId="14" fillId="2" borderId="134" xfId="1270" applyNumberFormat="1" applyFont="1" applyBorder="1" applyAlignment="1">
      <alignment horizontal="left" vertical="center" wrapText="1"/>
    </xf>
    <xf numFmtId="0" fontId="14" fillId="2" borderId="31" xfId="1275" applyFont="1" applyAlignment="1">
      <alignment horizontal="left" vertical="top" wrapText="1"/>
    </xf>
    <xf numFmtId="167" fontId="14" fillId="2" borderId="111" xfId="1255" applyNumberFormat="1" applyFont="1" applyBorder="1" applyAlignment="1">
      <alignment horizontal="center" wrapText="1"/>
    </xf>
    <xf numFmtId="167" fontId="14" fillId="2" borderId="109" xfId="1255" applyNumberFormat="1" applyFont="1" applyBorder="1" applyAlignment="1">
      <alignment horizontal="center" wrapText="1"/>
    </xf>
    <xf numFmtId="0" fontId="19" fillId="2" borderId="100" xfId="1297" applyFont="1" applyBorder="1" applyAlignment="1">
      <alignment horizontal="left" vertical="center" wrapText="1"/>
    </xf>
    <xf numFmtId="0" fontId="0" fillId="0" borderId="87" xfId="0" applyBorder="1" applyAlignment="1">
      <alignment horizontal="center"/>
    </xf>
    <xf numFmtId="0" fontId="0" fillId="0" borderId="91" xfId="0" applyBorder="1" applyAlignment="1">
      <alignment horizontal="center"/>
    </xf>
    <xf numFmtId="0" fontId="14" fillId="2" borderId="103" xfId="1300" applyFont="1" applyBorder="1" applyAlignment="1">
      <alignment horizontal="center" wrapText="1"/>
    </xf>
    <xf numFmtId="0" fontId="14" fillId="2" borderId="126" xfId="1300" applyFont="1" applyBorder="1" applyAlignment="1">
      <alignment horizontal="center" wrapText="1"/>
    </xf>
    <xf numFmtId="0" fontId="14" fillId="2" borderId="127" xfId="1300" applyFont="1" applyBorder="1" applyAlignment="1">
      <alignment horizontal="center" wrapText="1"/>
    </xf>
    <xf numFmtId="0" fontId="14" fillId="2" borderId="102" xfId="1300" applyFont="1" applyBorder="1" applyAlignment="1">
      <alignment horizontal="center" wrapText="1"/>
    </xf>
    <xf numFmtId="0" fontId="14" fillId="2" borderId="101" xfId="1299" applyFont="1" applyBorder="1" applyAlignment="1">
      <alignment horizontal="center" wrapText="1"/>
    </xf>
    <xf numFmtId="0" fontId="14" fillId="2" borderId="126" xfId="1299" applyFont="1" applyBorder="1" applyAlignment="1">
      <alignment horizontal="center" wrapText="1"/>
    </xf>
    <xf numFmtId="0" fontId="14" fillId="2" borderId="102" xfId="1299" applyFont="1" applyBorder="1" applyAlignment="1">
      <alignment horizontal="center" wrapText="1"/>
    </xf>
    <xf numFmtId="0" fontId="14" fillId="2" borderId="52" xfId="1298" applyFont="1" applyBorder="1" applyAlignment="1">
      <alignment horizontal="left" wrapText="1"/>
    </xf>
    <xf numFmtId="0" fontId="14" fillId="2" borderId="112" xfId="1298" applyFont="1" applyBorder="1" applyAlignment="1">
      <alignment horizontal="left" wrapText="1"/>
    </xf>
    <xf numFmtId="0" fontId="21" fillId="0" borderId="117" xfId="1299" applyFont="1" applyFill="1" applyBorder="1" applyAlignment="1">
      <alignment horizontal="center" vertical="center" wrapText="1"/>
    </xf>
    <xf numFmtId="0" fontId="21" fillId="0" borderId="118" xfId="1299" applyFont="1" applyFill="1" applyBorder="1" applyAlignment="1">
      <alignment horizontal="center" vertical="center" wrapText="1"/>
    </xf>
    <xf numFmtId="0" fontId="21" fillId="0" borderId="136" xfId="1300" applyFont="1" applyFill="1" applyBorder="1" applyAlignment="1">
      <alignment horizontal="center" vertical="center" wrapText="1"/>
    </xf>
    <xf numFmtId="0" fontId="21" fillId="0" borderId="139" xfId="1300" applyFont="1" applyFill="1" applyBorder="1" applyAlignment="1">
      <alignment horizontal="center" vertical="center" wrapText="1"/>
    </xf>
    <xf numFmtId="0" fontId="21" fillId="0" borderId="117" xfId="1300" applyFont="1" applyFill="1" applyBorder="1" applyAlignment="1">
      <alignment horizontal="center" vertical="center" wrapText="1"/>
    </xf>
    <xf numFmtId="0" fontId="21" fillId="0" borderId="118" xfId="1300" applyFont="1" applyFill="1" applyBorder="1" applyAlignment="1">
      <alignment horizontal="center" vertical="center" wrapText="1"/>
    </xf>
    <xf numFmtId="0" fontId="23" fillId="0" borderId="199" xfId="0" applyFont="1" applyBorder="1" applyAlignment="1">
      <alignment horizontal="left" vertical="center" wrapText="1"/>
    </xf>
    <xf numFmtId="0" fontId="23" fillId="0" borderId="130" xfId="0" applyFont="1" applyBorder="1" applyAlignment="1">
      <alignment horizontal="left" vertical="center" wrapText="1"/>
    </xf>
    <xf numFmtId="0" fontId="23" fillId="0" borderId="203" xfId="0" applyFont="1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8" fillId="0" borderId="136" xfId="1321" applyFont="1" applyFill="1" applyBorder="1" applyAlignment="1">
      <alignment horizontal="center" vertical="center" wrapText="1"/>
    </xf>
    <xf numFmtId="0" fontId="8" fillId="0" borderId="139" xfId="1321" applyFont="1" applyFill="1" applyBorder="1" applyAlignment="1">
      <alignment horizontal="center" vertical="center" wrapText="1"/>
    </xf>
    <xf numFmtId="0" fontId="8" fillId="0" borderId="117" xfId="1321" applyFont="1" applyFill="1" applyBorder="1" applyAlignment="1">
      <alignment horizontal="center" vertical="center" wrapText="1"/>
    </xf>
    <xf numFmtId="0" fontId="8" fillId="0" borderId="118" xfId="1321" applyFont="1" applyFill="1" applyBorder="1" applyAlignment="1">
      <alignment horizontal="center" vertical="center" wrapText="1"/>
    </xf>
    <xf numFmtId="0" fontId="8" fillId="0" borderId="133" xfId="1318" applyFont="1" applyFill="1" applyBorder="1" applyAlignment="1">
      <alignment horizontal="left" vertical="center" wrapText="1"/>
    </xf>
    <xf numFmtId="0" fontId="8" fillId="0" borderId="173" xfId="1322" applyFont="1" applyFill="1" applyBorder="1" applyAlignment="1">
      <alignment horizontal="left" vertical="center" wrapText="1"/>
    </xf>
    <xf numFmtId="0" fontId="8" fillId="0" borderId="117" xfId="1320" applyFont="1" applyFill="1" applyBorder="1" applyAlignment="1">
      <alignment horizontal="center" vertical="center" wrapText="1"/>
    </xf>
    <xf numFmtId="0" fontId="38" fillId="2" borderId="31" xfId="1317" applyFont="1" applyAlignment="1">
      <alignment horizontal="left" vertical="center" wrapText="1"/>
    </xf>
    <xf numFmtId="0" fontId="21" fillId="0" borderId="136" xfId="1321" applyFont="1" applyFill="1" applyBorder="1" applyAlignment="1">
      <alignment horizontal="center" vertical="center" wrapText="1"/>
    </xf>
    <xf numFmtId="0" fontId="21" fillId="0" borderId="118" xfId="1321" applyFont="1" applyFill="1" applyBorder="1" applyAlignment="1">
      <alignment horizontal="center" vertical="center" wrapText="1"/>
    </xf>
    <xf numFmtId="0" fontId="23" fillId="0" borderId="123" xfId="0" applyFont="1" applyBorder="1" applyAlignment="1">
      <alignment horizontal="center" vertical="center" wrapText="1"/>
    </xf>
    <xf numFmtId="0" fontId="14" fillId="2" borderId="31" xfId="1420" applyFont="1" applyFill="1" applyBorder="1" applyAlignment="1">
      <alignment horizontal="left" vertical="center" wrapText="1" indent="1"/>
    </xf>
    <xf numFmtId="0" fontId="14" fillId="2" borderId="31" xfId="1421" applyFont="1" applyFill="1" applyBorder="1" applyAlignment="1">
      <alignment horizontal="left" vertical="center" wrapText="1" indent="1"/>
    </xf>
    <xf numFmtId="0" fontId="58" fillId="2" borderId="31" xfId="1420" applyFont="1" applyFill="1" applyBorder="1" applyAlignment="1">
      <alignment horizontal="left" vertical="center" wrapText="1"/>
    </xf>
    <xf numFmtId="0" fontId="58" fillId="2" borderId="31" xfId="1421" applyFont="1" applyFill="1" applyBorder="1" applyAlignment="1">
      <alignment horizontal="left" vertical="center" wrapText="1"/>
    </xf>
    <xf numFmtId="0" fontId="54" fillId="2" borderId="31" xfId="1407" applyFont="1" applyFill="1" applyBorder="1" applyAlignment="1">
      <alignment horizontal="left" vertical="center" wrapText="1"/>
    </xf>
    <xf numFmtId="0" fontId="56" fillId="2" borderId="31" xfId="1407" applyFont="1" applyFill="1" applyBorder="1" applyAlignment="1">
      <alignment horizontal="left" vertical="center" wrapText="1"/>
    </xf>
    <xf numFmtId="0" fontId="14" fillId="2" borderId="31" xfId="1407" applyFont="1" applyFill="1" applyBorder="1" applyAlignment="1">
      <alignment horizontal="right" vertical="center" wrapText="1"/>
    </xf>
    <xf numFmtId="0" fontId="14" fillId="2" borderId="204" xfId="1408" applyFont="1" applyFill="1" applyBorder="1" applyAlignment="1">
      <alignment horizontal="left" wrapText="1"/>
    </xf>
    <xf numFmtId="0" fontId="14" fillId="2" borderId="204" xfId="1409" applyFont="1" applyFill="1" applyBorder="1" applyAlignment="1">
      <alignment horizontal="left" wrapText="1"/>
    </xf>
    <xf numFmtId="0" fontId="14" fillId="2" borderId="209" xfId="1412" applyFont="1" applyFill="1" applyBorder="1" applyAlignment="1">
      <alignment horizontal="left" wrapText="1"/>
    </xf>
    <xf numFmtId="0" fontId="14" fillId="2" borderId="209" xfId="1413" applyFont="1" applyFill="1" applyBorder="1" applyAlignment="1">
      <alignment horizontal="left" wrapText="1"/>
    </xf>
    <xf numFmtId="0" fontId="14" fillId="2" borderId="205" xfId="1410" applyFont="1" applyFill="1" applyBorder="1" applyAlignment="1">
      <alignment horizontal="center" wrapText="1"/>
    </xf>
    <xf numFmtId="0" fontId="14" fillId="2" borderId="206" xfId="1411" applyFont="1" applyFill="1" applyBorder="1" applyAlignment="1">
      <alignment horizontal="center" wrapText="1"/>
    </xf>
    <xf numFmtId="0" fontId="14" fillId="2" borderId="207" xfId="1411" applyFont="1" applyFill="1" applyBorder="1" applyAlignment="1">
      <alignment horizontal="center" wrapText="1"/>
    </xf>
    <xf numFmtId="0" fontId="14" fillId="2" borderId="208" xfId="1411" applyFont="1" applyFill="1" applyBorder="1" applyAlignment="1">
      <alignment horizontal="center" wrapText="1"/>
    </xf>
    <xf numFmtId="0" fontId="58" fillId="2" borderId="31" xfId="1416" applyFont="1" applyFill="1" applyBorder="1" applyAlignment="1">
      <alignment horizontal="left" vertical="center" wrapText="1"/>
    </xf>
    <xf numFmtId="0" fontId="58" fillId="2" borderId="31" xfId="1417" applyFont="1" applyFill="1" applyBorder="1" applyAlignment="1">
      <alignment horizontal="left" vertical="center" wrapText="1"/>
    </xf>
    <xf numFmtId="0" fontId="59" fillId="2" borderId="211" xfId="1424" applyFont="1" applyFill="1" applyBorder="1" applyAlignment="1">
      <alignment horizontal="left" vertical="top" wrapText="1"/>
    </xf>
    <xf numFmtId="0" fontId="56" fillId="2" borderId="31" xfId="1407" applyFont="1" applyFill="1" applyBorder="1" applyAlignment="1">
      <alignment horizontal="center" vertical="center" wrapText="1"/>
    </xf>
    <xf numFmtId="0" fontId="14" fillId="2" borderId="208" xfId="1410" applyFont="1" applyFill="1" applyBorder="1" applyAlignment="1">
      <alignment horizontal="center" wrapText="1"/>
    </xf>
  </cellXfs>
  <cellStyles count="1430">
    <cellStyle name="Hyperlink" xfId="1406" builtinId="8"/>
    <cellStyle name="Normal" xfId="0" builtinId="0"/>
    <cellStyle name="Normal 2" xfId="1362"/>
    <cellStyle name="Normal_Slagalica" xfId="1179"/>
    <cellStyle name="Normal_Графикон 9" xfId="632"/>
    <cellStyle name="style1681906106536" xfId="1"/>
    <cellStyle name="style1681906106645" xfId="2"/>
    <cellStyle name="style1681906106732" xfId="3"/>
    <cellStyle name="style1681906106822" xfId="4"/>
    <cellStyle name="style1681906106907" xfId="5"/>
    <cellStyle name="style1681906106992" xfId="6"/>
    <cellStyle name="style1681906107077" xfId="7"/>
    <cellStyle name="style1681906107161" xfId="8"/>
    <cellStyle name="style1681906107244" xfId="9"/>
    <cellStyle name="style1681906107337" xfId="10"/>
    <cellStyle name="style1681906107426" xfId="11"/>
    <cellStyle name="style1681906107511" xfId="12"/>
    <cellStyle name="style1681906107594" xfId="13"/>
    <cellStyle name="style1681906107675" xfId="14"/>
    <cellStyle name="style1681906107750" xfId="15"/>
    <cellStyle name="style1681906107824" xfId="16"/>
    <cellStyle name="style1681906107900" xfId="17"/>
    <cellStyle name="style1681906107982" xfId="18"/>
    <cellStyle name="style1681906108064" xfId="19"/>
    <cellStyle name="style1681906108140" xfId="20"/>
    <cellStyle name="style1681906108217" xfId="21"/>
    <cellStyle name="style1681906108290" xfId="22"/>
    <cellStyle name="style1681906108364" xfId="23"/>
    <cellStyle name="style1681906108436" xfId="24"/>
    <cellStyle name="style1681906111581" xfId="25"/>
    <cellStyle name="style1681906111657" xfId="26"/>
    <cellStyle name="style1681906111732" xfId="27"/>
    <cellStyle name="style1681906111798" xfId="28"/>
    <cellStyle name="style1681906111867" xfId="29"/>
    <cellStyle name="style1681906111924" xfId="30"/>
    <cellStyle name="style1681906111990" xfId="31"/>
    <cellStyle name="style1681906112072" xfId="32"/>
    <cellStyle name="style1681906112151" xfId="33"/>
    <cellStyle name="style1681906112224" xfId="34"/>
    <cellStyle name="style1681906112296" xfId="35"/>
    <cellStyle name="style1681906112369" xfId="36"/>
    <cellStyle name="style1681906112447" xfId="37"/>
    <cellStyle name="style1681906112518" xfId="38"/>
    <cellStyle name="style1681906112588" xfId="39"/>
    <cellStyle name="style1681906112662" xfId="40"/>
    <cellStyle name="style1681906112739" xfId="41"/>
    <cellStyle name="style1681906112815" xfId="42"/>
    <cellStyle name="style1681906112888" xfId="43"/>
    <cellStyle name="style1681906112951" xfId="44"/>
    <cellStyle name="style1681906113017" xfId="45"/>
    <cellStyle name="style1681906113088" xfId="46"/>
    <cellStyle name="style1681906113152" xfId="47"/>
    <cellStyle name="style1681906113217" xfId="48"/>
    <cellStyle name="style1681906113266" xfId="49"/>
    <cellStyle name="style1681906113322" xfId="50"/>
    <cellStyle name="style1681906113378" xfId="51"/>
    <cellStyle name="style1681906113428" xfId="52"/>
    <cellStyle name="style1681906113498" xfId="53"/>
    <cellStyle name="style1681906113560" xfId="54"/>
    <cellStyle name="style1681906113619" xfId="55"/>
    <cellStyle name="style1681906113676" xfId="56"/>
    <cellStyle name="style1681906113729" xfId="57"/>
    <cellStyle name="style1681906113798" xfId="58"/>
    <cellStyle name="style1681906113879" xfId="59"/>
    <cellStyle name="style1681906113934" xfId="60"/>
    <cellStyle name="style1681906113991" xfId="61"/>
    <cellStyle name="style1681906114040" xfId="62"/>
    <cellStyle name="style1681906114107" xfId="63"/>
    <cellStyle name="style1681906114165" xfId="64"/>
    <cellStyle name="style1681906114222" xfId="65"/>
    <cellStyle name="style1681906114280" xfId="66"/>
    <cellStyle name="style1681906114338" xfId="67"/>
    <cellStyle name="style1681906114415" xfId="68"/>
    <cellStyle name="style1681906114415 2" xfId="1402"/>
    <cellStyle name="style1681906114465" xfId="69"/>
    <cellStyle name="style1681906114520" xfId="70"/>
    <cellStyle name="style1681906114570" xfId="71"/>
    <cellStyle name="style1681906115655" xfId="72"/>
    <cellStyle name="style1681906117427" xfId="73"/>
    <cellStyle name="style1681906120937" xfId="74"/>
    <cellStyle name="style1681906121012" xfId="75"/>
    <cellStyle name="style1681906121076" xfId="76"/>
    <cellStyle name="style1681906121138" xfId="77"/>
    <cellStyle name="style1681906121194" xfId="78"/>
    <cellStyle name="style1681906121246" xfId="79"/>
    <cellStyle name="style1681906121294" xfId="80"/>
    <cellStyle name="style1681906121351" xfId="81"/>
    <cellStyle name="style1681906121408" xfId="82"/>
    <cellStyle name="style1681906121464" xfId="83"/>
    <cellStyle name="style1681906121534" xfId="84"/>
    <cellStyle name="style1681906121600" xfId="85"/>
    <cellStyle name="style1681906121658" xfId="86"/>
    <cellStyle name="style1681906121712" xfId="87"/>
    <cellStyle name="style1681906121765" xfId="88"/>
    <cellStyle name="style1681906121820" xfId="89"/>
    <cellStyle name="style1681906121880" xfId="90"/>
    <cellStyle name="style1681906121934" xfId="91"/>
    <cellStyle name="style1681906121993" xfId="92"/>
    <cellStyle name="style1681906122047" xfId="93"/>
    <cellStyle name="style1681906122102" xfId="94"/>
    <cellStyle name="style1681906122158" xfId="95"/>
    <cellStyle name="style1681906122214" xfId="96"/>
    <cellStyle name="style1681906122272" xfId="97"/>
    <cellStyle name="style1681906122322" xfId="98"/>
    <cellStyle name="style1681906122381" xfId="99"/>
    <cellStyle name="style1681906122436" xfId="100"/>
    <cellStyle name="style1681906122483" xfId="101"/>
    <cellStyle name="style1681906122541" xfId="102"/>
    <cellStyle name="style1681906122595" xfId="103"/>
    <cellStyle name="style1681906122650" xfId="104"/>
    <cellStyle name="style1681906122703" xfId="105"/>
    <cellStyle name="style1681906122752" xfId="106"/>
    <cellStyle name="style1681906122811" xfId="107"/>
    <cellStyle name="style1681906122885" xfId="108"/>
    <cellStyle name="style1681906122956" xfId="109"/>
    <cellStyle name="style1681906123016" xfId="110"/>
    <cellStyle name="style1681906123077" xfId="111"/>
    <cellStyle name="style1681906123151" xfId="112"/>
    <cellStyle name="style1681906123215" xfId="113"/>
    <cellStyle name="style1681906123272" xfId="114"/>
    <cellStyle name="style1681906123331" xfId="115"/>
    <cellStyle name="style1681906123385" xfId="116"/>
    <cellStyle name="style1681906123449" xfId="117"/>
    <cellStyle name="style1681906123497" xfId="118"/>
    <cellStyle name="style1681906123548" xfId="119"/>
    <cellStyle name="style1681906123596" xfId="120"/>
    <cellStyle name="style1681906124224" xfId="121"/>
    <cellStyle name="style1681906124273" xfId="122"/>
    <cellStyle name="style1681906127618" xfId="123"/>
    <cellStyle name="style1681906127696" xfId="124"/>
    <cellStyle name="style1681906127759" xfId="125"/>
    <cellStyle name="style1681906127822" xfId="126"/>
    <cellStyle name="style1681906127894" xfId="127"/>
    <cellStyle name="style1681906127963" xfId="128"/>
    <cellStyle name="style1681906128045" xfId="129"/>
    <cellStyle name="style1681906128118" xfId="130"/>
    <cellStyle name="style1681906128191" xfId="131"/>
    <cellStyle name="style1681906128267" xfId="132"/>
    <cellStyle name="style1681906128338" xfId="133"/>
    <cellStyle name="style1681906128414" xfId="134"/>
    <cellStyle name="style1681906128491" xfId="135"/>
    <cellStyle name="style1681906128561" xfId="136"/>
    <cellStyle name="style1681906128639" xfId="137"/>
    <cellStyle name="style1681906128714" xfId="138"/>
    <cellStyle name="style1681906128784" xfId="139"/>
    <cellStyle name="style1681906128840" xfId="140"/>
    <cellStyle name="style1681906128893" xfId="141"/>
    <cellStyle name="style1681906128955" xfId="142"/>
    <cellStyle name="style1681906129025" xfId="143"/>
    <cellStyle name="style1681906129088" xfId="144"/>
    <cellStyle name="style1681906129157" xfId="145"/>
    <cellStyle name="style1681906129224" xfId="146"/>
    <cellStyle name="style1681906129286" xfId="147"/>
    <cellStyle name="style1681906129340" xfId="148"/>
    <cellStyle name="style1681906129397" xfId="149"/>
    <cellStyle name="style1681906129452" xfId="150"/>
    <cellStyle name="style1681906129505" xfId="151"/>
    <cellStyle name="style1681906129559" xfId="152"/>
    <cellStyle name="style1681906129613" xfId="153"/>
    <cellStyle name="style1681906129668" xfId="154"/>
    <cellStyle name="style1681906129723" xfId="155"/>
    <cellStyle name="style1681906129777" xfId="156"/>
    <cellStyle name="style1681906132666" xfId="157"/>
    <cellStyle name="style1681906132743" xfId="158"/>
    <cellStyle name="style1681906132810" xfId="159"/>
    <cellStyle name="style1681906132866" xfId="160"/>
    <cellStyle name="style1681906132934" xfId="161"/>
    <cellStyle name="style1681906132991" xfId="162"/>
    <cellStyle name="style1681906133048" xfId="163"/>
    <cellStyle name="style1681906133103" xfId="164"/>
    <cellStyle name="style1681906133164" xfId="165"/>
    <cellStyle name="style1681906133228" xfId="166"/>
    <cellStyle name="style1681906133287" xfId="167"/>
    <cellStyle name="style1681906133344" xfId="168"/>
    <cellStyle name="style1681906133402" xfId="169"/>
    <cellStyle name="style1681906133457" xfId="170"/>
    <cellStyle name="style1681906133512" xfId="171"/>
    <cellStyle name="style1681906133568" xfId="172"/>
    <cellStyle name="style1681906133626" xfId="173"/>
    <cellStyle name="style1681906133679" xfId="174"/>
    <cellStyle name="style1681906133738" xfId="175"/>
    <cellStyle name="style1681906133791" xfId="176"/>
    <cellStyle name="style1681906133846" xfId="177"/>
    <cellStyle name="style1681906133903" xfId="178"/>
    <cellStyle name="style1681906133958" xfId="179"/>
    <cellStyle name="style1681906134010" xfId="180"/>
    <cellStyle name="style1681906134057" xfId="181"/>
    <cellStyle name="style1681906134111" xfId="182"/>
    <cellStyle name="style1681906134165" xfId="183"/>
    <cellStyle name="style1681906134213" xfId="184"/>
    <cellStyle name="style1681906134271" xfId="185"/>
    <cellStyle name="style1681906134324" xfId="186"/>
    <cellStyle name="style1681906134378" xfId="187"/>
    <cellStyle name="style1681906134432" xfId="188"/>
    <cellStyle name="style1681906134477" xfId="189"/>
    <cellStyle name="style1681906134534" xfId="190"/>
    <cellStyle name="style1681906134604" xfId="191"/>
    <cellStyle name="style1681906134658" xfId="192"/>
    <cellStyle name="style1681906134712" xfId="193"/>
    <cellStyle name="style1681906134758" xfId="194"/>
    <cellStyle name="style1681906134813" xfId="195"/>
    <cellStyle name="style1681906134865" xfId="196"/>
    <cellStyle name="style1681906134919" xfId="197"/>
    <cellStyle name="style1681906134976" xfId="198"/>
    <cellStyle name="style1681906135029" xfId="199"/>
    <cellStyle name="style1681906135095" xfId="200"/>
    <cellStyle name="style1681906135141" xfId="201"/>
    <cellStyle name="style1681906135191" xfId="202"/>
    <cellStyle name="style1681906135238" xfId="203"/>
    <cellStyle name="style1681906136006" xfId="204"/>
    <cellStyle name="style1681906136120" xfId="205"/>
    <cellStyle name="style1681906139617" xfId="206"/>
    <cellStyle name="style1681906139683" xfId="207"/>
    <cellStyle name="style1681906139740" xfId="208"/>
    <cellStyle name="style1681906139809" xfId="209"/>
    <cellStyle name="style1681906139884" xfId="210"/>
    <cellStyle name="style1681906139940" xfId="211"/>
    <cellStyle name="style1681906139996" xfId="212"/>
    <cellStyle name="style1681906140059" xfId="213"/>
    <cellStyle name="style1681906140113" xfId="214"/>
    <cellStyle name="style1681906140171" xfId="215"/>
    <cellStyle name="style1681906140229" xfId="216"/>
    <cellStyle name="style1681906140284" xfId="217"/>
    <cellStyle name="style1681906140338" xfId="218"/>
    <cellStyle name="style1681906140391" xfId="219"/>
    <cellStyle name="style1681906140449" xfId="220"/>
    <cellStyle name="style1681906140505" xfId="221"/>
    <cellStyle name="style1681906140564" xfId="222"/>
    <cellStyle name="style1681906140619" xfId="223"/>
    <cellStyle name="style1681906140674" xfId="224"/>
    <cellStyle name="style1681906140727" xfId="225"/>
    <cellStyle name="style1681906140789" xfId="226"/>
    <cellStyle name="style1681906140858" xfId="227"/>
    <cellStyle name="style1681906140917" xfId="228"/>
    <cellStyle name="style1681906140971" xfId="229"/>
    <cellStyle name="style1681906141025" xfId="230"/>
    <cellStyle name="style1681906141079" xfId="231"/>
    <cellStyle name="style1681906141134" xfId="232"/>
    <cellStyle name="style1681906141188" xfId="233"/>
    <cellStyle name="style1681906141242" xfId="234"/>
    <cellStyle name="style1681906141297" xfId="235"/>
    <cellStyle name="style1681906141353" xfId="236"/>
    <cellStyle name="style1681906141409" xfId="237"/>
    <cellStyle name="style1681906141464" xfId="238"/>
    <cellStyle name="style1681906141518" xfId="239"/>
    <cellStyle name="style1681906144207" xfId="240"/>
    <cellStyle name="style1681906144271" xfId="241"/>
    <cellStyle name="style1681906144329" xfId="242"/>
    <cellStyle name="style1681906144386" xfId="243"/>
    <cellStyle name="style1681906144444" xfId="244"/>
    <cellStyle name="style1681906144501" xfId="245"/>
    <cellStyle name="style1681906144553" xfId="246"/>
    <cellStyle name="style1681906144614" xfId="247"/>
    <cellStyle name="style1681906144676" xfId="248"/>
    <cellStyle name="style1681906144741" xfId="249"/>
    <cellStyle name="style1681906144801" xfId="250"/>
    <cellStyle name="style1681906144861" xfId="251"/>
    <cellStyle name="style1681906144923" xfId="252"/>
    <cellStyle name="style1681906144987" xfId="253"/>
    <cellStyle name="style1681906145066" xfId="254"/>
    <cellStyle name="style1681906145132" xfId="255"/>
    <cellStyle name="style1681906145192" xfId="256"/>
    <cellStyle name="style1681906145250" xfId="257"/>
    <cellStyle name="style1681906145312" xfId="258"/>
    <cellStyle name="style1681906145368" xfId="259"/>
    <cellStyle name="style1681906145427" xfId="260"/>
    <cellStyle name="style1681906145489" xfId="261"/>
    <cellStyle name="style1681906145549" xfId="262"/>
    <cellStyle name="style1681906145609" xfId="263"/>
    <cellStyle name="style1681906145659" xfId="264"/>
    <cellStyle name="style1681906145717" xfId="265"/>
    <cellStyle name="style1681906145775" xfId="266"/>
    <cellStyle name="style1681906145826" xfId="267"/>
    <cellStyle name="style1681906145885" xfId="268"/>
    <cellStyle name="style1681906145943" xfId="269"/>
    <cellStyle name="style1681906146003" xfId="270"/>
    <cellStyle name="style1681906146061" xfId="271"/>
    <cellStyle name="style1681906146109" xfId="272"/>
    <cellStyle name="style1681906146164" xfId="273"/>
    <cellStyle name="style1681906146228" xfId="274"/>
    <cellStyle name="style1681906146281" xfId="275"/>
    <cellStyle name="style1681906146335" xfId="276"/>
    <cellStyle name="style1681906146383" xfId="277"/>
    <cellStyle name="style1681906146438" xfId="278"/>
    <cellStyle name="style1681906146494" xfId="279"/>
    <cellStyle name="style1681906146547" xfId="280"/>
    <cellStyle name="style1681906146601" xfId="281"/>
    <cellStyle name="style1681906146654" xfId="282"/>
    <cellStyle name="style1681906146714" xfId="283"/>
    <cellStyle name="style1681906146761" xfId="284"/>
    <cellStyle name="style1681906146808" xfId="285"/>
    <cellStyle name="style1681906146855" xfId="286"/>
    <cellStyle name="style1681906147463" xfId="287"/>
    <cellStyle name="style1681906147521" xfId="288"/>
    <cellStyle name="style1681906150606" xfId="289"/>
    <cellStyle name="style1681906150671" xfId="290"/>
    <cellStyle name="style1681906150728" xfId="291"/>
    <cellStyle name="style1681906150793" xfId="292"/>
    <cellStyle name="style1681906150864" xfId="293"/>
    <cellStyle name="style1681906150923" xfId="294"/>
    <cellStyle name="style1681906150980" xfId="295"/>
    <cellStyle name="style1681906151035" xfId="296"/>
    <cellStyle name="style1681906151094" xfId="297"/>
    <cellStyle name="style1681906151147" xfId="298"/>
    <cellStyle name="style1681906151201" xfId="299"/>
    <cellStyle name="style1681906151254" xfId="300"/>
    <cellStyle name="style1681906151307" xfId="301"/>
    <cellStyle name="style1681906151360" xfId="302"/>
    <cellStyle name="style1681906151415" xfId="303"/>
    <cellStyle name="style1681906151467" xfId="304"/>
    <cellStyle name="style1681906151526" xfId="305"/>
    <cellStyle name="style1681906151580" xfId="306"/>
    <cellStyle name="style1681906151633" xfId="307"/>
    <cellStyle name="style1681906151687" xfId="308"/>
    <cellStyle name="style1681906151740" xfId="309"/>
    <cellStyle name="style1681906151800" xfId="310"/>
    <cellStyle name="style1681906151873" xfId="311"/>
    <cellStyle name="style1681906151932" xfId="312"/>
    <cellStyle name="style1681906151986" xfId="313"/>
    <cellStyle name="style1681906152038" xfId="314"/>
    <cellStyle name="style1681906152093" xfId="315"/>
    <cellStyle name="style1681906152147" xfId="316"/>
    <cellStyle name="style1681906152199" xfId="317"/>
    <cellStyle name="style1681906152253" xfId="318"/>
    <cellStyle name="style1681906152306" xfId="319"/>
    <cellStyle name="style1681906152359" xfId="320"/>
    <cellStyle name="style1681906152414" xfId="321"/>
    <cellStyle name="style1681906152466" xfId="322"/>
    <cellStyle name="style1681906155203" xfId="323"/>
    <cellStyle name="style1681906155265" xfId="324"/>
    <cellStyle name="style1681906155324" xfId="325"/>
    <cellStyle name="style1681906155381" xfId="326"/>
    <cellStyle name="style1681906155437" xfId="327"/>
    <cellStyle name="style1681906155489" xfId="328"/>
    <cellStyle name="style1681906155542" xfId="329"/>
    <cellStyle name="style1681906155610" xfId="330"/>
    <cellStyle name="style1681906155675" xfId="331"/>
    <cellStyle name="style1681906155737" xfId="332"/>
    <cellStyle name="style1681906155793" xfId="333"/>
    <cellStyle name="style1681906155848" xfId="334"/>
    <cellStyle name="style1681906155905" xfId="335"/>
    <cellStyle name="style1681906155958" xfId="336"/>
    <cellStyle name="style1681906156010" xfId="337"/>
    <cellStyle name="style1681906156064" xfId="338"/>
    <cellStyle name="style1681906156135" xfId="339"/>
    <cellStyle name="style1681906156198" xfId="340"/>
    <cellStyle name="style1681906156256" xfId="341"/>
    <cellStyle name="style1681906156307" xfId="342"/>
    <cellStyle name="style1681906156360" xfId="343"/>
    <cellStyle name="style1681906156414" xfId="344"/>
    <cellStyle name="style1681906156470" xfId="345"/>
    <cellStyle name="style1681906156524" xfId="346"/>
    <cellStyle name="style1681906156569" xfId="347"/>
    <cellStyle name="style1681906156622" xfId="348"/>
    <cellStyle name="style1681906156676" xfId="349"/>
    <cellStyle name="style1681906156722" xfId="350"/>
    <cellStyle name="style1681906156777" xfId="351"/>
    <cellStyle name="style1681906156829" xfId="352"/>
    <cellStyle name="style1681906156883" xfId="353"/>
    <cellStyle name="style1681906156935" xfId="354"/>
    <cellStyle name="style1681906156981" xfId="355"/>
    <cellStyle name="style1681906157036" xfId="356"/>
    <cellStyle name="style1681906157102" xfId="357"/>
    <cellStyle name="style1681906157156" xfId="358"/>
    <cellStyle name="style1681906157208" xfId="359"/>
    <cellStyle name="style1681906157255" xfId="360"/>
    <cellStyle name="style1681906157307" xfId="361"/>
    <cellStyle name="style1681906157361" xfId="362"/>
    <cellStyle name="style1681906157413" xfId="363"/>
    <cellStyle name="style1681906157471" xfId="364"/>
    <cellStyle name="style1681906157525" xfId="365"/>
    <cellStyle name="style1681906157588" xfId="366"/>
    <cellStyle name="style1681906157633" xfId="367"/>
    <cellStyle name="style1681906157680" xfId="368"/>
    <cellStyle name="style1681906157726" xfId="369"/>
    <cellStyle name="style1681906158480" xfId="370"/>
    <cellStyle name="style1681906158561" xfId="371"/>
    <cellStyle name="style1681906162051" xfId="372"/>
    <cellStyle name="style1681906162121" xfId="373"/>
    <cellStyle name="style1681906162193" xfId="374"/>
    <cellStyle name="style1681906162262" xfId="375"/>
    <cellStyle name="style1681906162319" xfId="376"/>
    <cellStyle name="style1681906162373" xfId="377"/>
    <cellStyle name="style1681906162428" xfId="378"/>
    <cellStyle name="style1681906162483" xfId="379"/>
    <cellStyle name="style1681906162541" xfId="380"/>
    <cellStyle name="style1681906162594" xfId="381"/>
    <cellStyle name="style1681906162647" xfId="382"/>
    <cellStyle name="style1681906162701" xfId="383"/>
    <cellStyle name="style1681906162753" xfId="384"/>
    <cellStyle name="style1681906162805" xfId="385"/>
    <cellStyle name="style1681906162857" xfId="386"/>
    <cellStyle name="style1681906162913" xfId="387"/>
    <cellStyle name="style1681906162970" xfId="388"/>
    <cellStyle name="style1681906163024" xfId="389"/>
    <cellStyle name="style1681906163075" xfId="390"/>
    <cellStyle name="style1681906163126" xfId="391"/>
    <cellStyle name="style1681906163190" xfId="392"/>
    <cellStyle name="style1681906163254" xfId="393"/>
    <cellStyle name="style1681906163310" xfId="394"/>
    <cellStyle name="style1681906163368" xfId="395"/>
    <cellStyle name="style1681906163421" xfId="396"/>
    <cellStyle name="style1681906163473" xfId="397"/>
    <cellStyle name="style1681906163527" xfId="398"/>
    <cellStyle name="style1681906163580" xfId="399"/>
    <cellStyle name="style1681906163633" xfId="400"/>
    <cellStyle name="style1681906163687" xfId="401"/>
    <cellStyle name="style1681906163742" xfId="402"/>
    <cellStyle name="style1681906163796" xfId="403"/>
    <cellStyle name="style1681906163851" xfId="404"/>
    <cellStyle name="style1681906163902" xfId="405"/>
    <cellStyle name="style1681906166687" xfId="406"/>
    <cellStyle name="style1681906166754" xfId="407"/>
    <cellStyle name="style1681906166811" xfId="408"/>
    <cellStyle name="style1681906166867" xfId="409"/>
    <cellStyle name="style1681906166924" xfId="410"/>
    <cellStyle name="style1681906166969" xfId="411"/>
    <cellStyle name="style1681906167016" xfId="412"/>
    <cellStyle name="style1681906167075" xfId="413"/>
    <cellStyle name="style1681906167135" xfId="414"/>
    <cellStyle name="style1681906167192" xfId="415"/>
    <cellStyle name="style1681906167244" xfId="416"/>
    <cellStyle name="style1681906167295" xfId="417"/>
    <cellStyle name="style1681906167350" xfId="418"/>
    <cellStyle name="style1681906167402" xfId="419"/>
    <cellStyle name="style1681906167457" xfId="420"/>
    <cellStyle name="style1681906167509" xfId="421"/>
    <cellStyle name="style1681906167568" xfId="422"/>
    <cellStyle name="style1681906167635" xfId="423"/>
    <cellStyle name="style1681906167700" xfId="424"/>
    <cellStyle name="style1681906167753" xfId="425"/>
    <cellStyle name="style1681906167805" xfId="426"/>
    <cellStyle name="style1681906167860" xfId="427"/>
    <cellStyle name="style1681906167911" xfId="428"/>
    <cellStyle name="style1681906167963" xfId="429"/>
    <cellStyle name="style1681906168007" xfId="430"/>
    <cellStyle name="style1681906168059" xfId="431"/>
    <cellStyle name="style1681906168110" xfId="432"/>
    <cellStyle name="style1681906168156" xfId="433"/>
    <cellStyle name="style1681906168210" xfId="434"/>
    <cellStyle name="style1681906168262" xfId="435"/>
    <cellStyle name="style1681906168314" xfId="436"/>
    <cellStyle name="style1681906168365" xfId="437"/>
    <cellStyle name="style1681906168410" xfId="438"/>
    <cellStyle name="style1681906168461" xfId="439"/>
    <cellStyle name="style1681906168522" xfId="440"/>
    <cellStyle name="style1681906168577" xfId="441"/>
    <cellStyle name="style1681906168631" xfId="442"/>
    <cellStyle name="style1681906168677" xfId="443"/>
    <cellStyle name="style1681906168732" xfId="444"/>
    <cellStyle name="style1681906168787" xfId="445"/>
    <cellStyle name="style1681906168840" xfId="446"/>
    <cellStyle name="style1681906168896" xfId="447"/>
    <cellStyle name="style1681906168947" xfId="448"/>
    <cellStyle name="style1681906169006" xfId="449"/>
    <cellStyle name="style1681906169051" xfId="450"/>
    <cellStyle name="style1681906169097" xfId="451"/>
    <cellStyle name="style1681906169142" xfId="452"/>
    <cellStyle name="style1681906169761" xfId="453"/>
    <cellStyle name="style1681906169806" xfId="454"/>
    <cellStyle name="style1681906173008" xfId="455"/>
    <cellStyle name="style1681906173078" xfId="456"/>
    <cellStyle name="style1681906173078 2" xfId="1377"/>
    <cellStyle name="style1681906173138" xfId="457"/>
    <cellStyle name="style1681906173138 2" xfId="1378"/>
    <cellStyle name="style1681906173194" xfId="458"/>
    <cellStyle name="style1681906173194 2" xfId="1376"/>
    <cellStyle name="style1681906173255" xfId="459"/>
    <cellStyle name="style1681906173255 2" xfId="1379"/>
    <cellStyle name="style1681906173300" xfId="460"/>
    <cellStyle name="style1681906173345" xfId="461"/>
    <cellStyle name="style1681906173398" xfId="462"/>
    <cellStyle name="style1681906173451" xfId="463"/>
    <cellStyle name="style1681906173506" xfId="464"/>
    <cellStyle name="style1681906173506 2" xfId="1403"/>
    <cellStyle name="style1681906173558" xfId="465"/>
    <cellStyle name="style1681906173558 2" xfId="1381"/>
    <cellStyle name="style1681906173616" xfId="466"/>
    <cellStyle name="style1681906173616 2" xfId="1380"/>
    <cellStyle name="style1681906173672" xfId="467"/>
    <cellStyle name="style1681906173672 2" xfId="1404"/>
    <cellStyle name="style1681906173725" xfId="468"/>
    <cellStyle name="style1681906173725 2" xfId="1382"/>
    <cellStyle name="style1681906173777" xfId="469"/>
    <cellStyle name="style1681906173777 2" xfId="1383"/>
    <cellStyle name="style1681906173829" xfId="470"/>
    <cellStyle name="style1681906173887" xfId="471"/>
    <cellStyle name="style1681906173887 2" xfId="1405"/>
    <cellStyle name="style1681906173940" xfId="472"/>
    <cellStyle name="style1681906173996" xfId="473"/>
    <cellStyle name="style1681906174057" xfId="474"/>
    <cellStyle name="style1681906174132" xfId="475"/>
    <cellStyle name="style1681906174192" xfId="476"/>
    <cellStyle name="style1681906174192 2" xfId="1394"/>
    <cellStyle name="style1681906174246" xfId="477"/>
    <cellStyle name="style1681906174298" xfId="478"/>
    <cellStyle name="style1681906174298 2" xfId="1395"/>
    <cellStyle name="style1681906174344" xfId="479"/>
    <cellStyle name="style1681906174344 2" xfId="1384"/>
    <cellStyle name="style1681906174395" xfId="480"/>
    <cellStyle name="style1681906174395 2" xfId="1385"/>
    <cellStyle name="style1681906174447" xfId="481"/>
    <cellStyle name="style1681906174447 2" xfId="1386"/>
    <cellStyle name="style1681906174493" xfId="482"/>
    <cellStyle name="style1681906174493 2" xfId="1387"/>
    <cellStyle name="style1681906174550" xfId="483"/>
    <cellStyle name="style1681906174550 2" xfId="1388"/>
    <cellStyle name="style1681906174606" xfId="484"/>
    <cellStyle name="style1681906174606 2" xfId="1389"/>
    <cellStyle name="style1681906174659" xfId="485"/>
    <cellStyle name="style1681906174659 2" xfId="1390"/>
    <cellStyle name="style1681906174712" xfId="486"/>
    <cellStyle name="style1681906174712 2" xfId="1391"/>
    <cellStyle name="style1681906174756" xfId="487"/>
    <cellStyle name="style1681906174756 2" xfId="1392"/>
    <cellStyle name="style1681906174812" xfId="488"/>
    <cellStyle name="style1681906174812 2" xfId="1393"/>
    <cellStyle name="style1681906174882" xfId="489"/>
    <cellStyle name="style1681906174882 2" xfId="1396"/>
    <cellStyle name="style1681906174936" xfId="490"/>
    <cellStyle name="style1681906174936 2" xfId="1397"/>
    <cellStyle name="style1681906174991" xfId="491"/>
    <cellStyle name="style1681906174991 2" xfId="1398"/>
    <cellStyle name="style1681906175035" xfId="492"/>
    <cellStyle name="style1681906175035 2" xfId="1399"/>
    <cellStyle name="style1681906175089" xfId="493"/>
    <cellStyle name="style1681906175089 2" xfId="1400"/>
    <cellStyle name="style1681906175142" xfId="494"/>
    <cellStyle name="style1681906175197" xfId="495"/>
    <cellStyle name="style1681906175250" xfId="496"/>
    <cellStyle name="style1681906175302" xfId="497"/>
    <cellStyle name="style1681906175302 2" xfId="1401"/>
    <cellStyle name="style1681906178268" xfId="498"/>
    <cellStyle name="style1681906178331" xfId="499"/>
    <cellStyle name="style1681906178392" xfId="500"/>
    <cellStyle name="style1681906178447" xfId="501"/>
    <cellStyle name="style1681906178504" xfId="502"/>
    <cellStyle name="style1681906178555" xfId="503"/>
    <cellStyle name="style1681906178617" xfId="504"/>
    <cellStyle name="style1681906178683" xfId="505"/>
    <cellStyle name="style1681906178743" xfId="506"/>
    <cellStyle name="style1681906178800" xfId="507"/>
    <cellStyle name="style1681906178854" xfId="508"/>
    <cellStyle name="style1681906178905" xfId="509"/>
    <cellStyle name="style1681906178962" xfId="510"/>
    <cellStyle name="style1681906179015" xfId="511"/>
    <cellStyle name="style1681906179067" xfId="512"/>
    <cellStyle name="style1681906179131" xfId="513"/>
    <cellStyle name="style1681906179206" xfId="514"/>
    <cellStyle name="style1681906179259" xfId="515"/>
    <cellStyle name="style1681906179315" xfId="516"/>
    <cellStyle name="style1681906179368" xfId="517"/>
    <cellStyle name="style1681906179425" xfId="518"/>
    <cellStyle name="style1681906179481" xfId="519"/>
    <cellStyle name="style1681906179534" xfId="520"/>
    <cellStyle name="style1681906179588" xfId="521"/>
    <cellStyle name="style1681906179635" xfId="522"/>
    <cellStyle name="style1681906179688" xfId="523"/>
    <cellStyle name="style1681906179740" xfId="524"/>
    <cellStyle name="style1681906179785" xfId="525"/>
    <cellStyle name="style1681906179841" xfId="526"/>
    <cellStyle name="style1681906179893" xfId="527"/>
    <cellStyle name="style1681906179945" xfId="528"/>
    <cellStyle name="style1681906179997" xfId="529"/>
    <cellStyle name="style1681906180043" xfId="530"/>
    <cellStyle name="style1681906180099" xfId="531"/>
    <cellStyle name="style1681906180168" xfId="532"/>
    <cellStyle name="style1681906180223" xfId="533"/>
    <cellStyle name="style1681906180274" xfId="534"/>
    <cellStyle name="style1681906180319" xfId="535"/>
    <cellStyle name="style1681906180376" xfId="536"/>
    <cellStyle name="style1681906180428" xfId="537"/>
    <cellStyle name="style1681906180479" xfId="538"/>
    <cellStyle name="style1681906180537" xfId="539"/>
    <cellStyle name="style1681906180587" xfId="540"/>
    <cellStyle name="style1681906180656" xfId="541"/>
    <cellStyle name="style1681906180702" xfId="542"/>
    <cellStyle name="style1681906180751" xfId="543"/>
    <cellStyle name="style1681906180795" xfId="544"/>
    <cellStyle name="style1681906180956" xfId="545"/>
    <cellStyle name="style1681906184064" xfId="546"/>
    <cellStyle name="style1681906192001" xfId="547"/>
    <cellStyle name="style1681906192063" xfId="548"/>
    <cellStyle name="style1681906192118" xfId="549"/>
    <cellStyle name="style1681906192175" xfId="550"/>
    <cellStyle name="style1681906192230" xfId="551"/>
    <cellStyle name="style1681906192230 2" xfId="1375"/>
    <cellStyle name="style1681906192287" xfId="552"/>
    <cellStyle name="style1681906192287 2" xfId="1373"/>
    <cellStyle name="style1681906192347" xfId="553"/>
    <cellStyle name="style1681906192408" xfId="554"/>
    <cellStyle name="style1681906192408 2" xfId="1374"/>
    <cellStyle name="style1681906192457" xfId="555"/>
    <cellStyle name="style1681906192510" xfId="556"/>
    <cellStyle name="style1681906192555" xfId="557"/>
    <cellStyle name="style1681906192606" xfId="558"/>
    <cellStyle name="style1681906192653" xfId="559"/>
    <cellStyle name="style1681906192653 2" xfId="1372"/>
    <cellStyle name="style1681906192704" xfId="560"/>
    <cellStyle name="style1681906192758" xfId="561"/>
    <cellStyle name="style1681906192809" xfId="562"/>
    <cellStyle name="style1681906192809 2" xfId="1371"/>
    <cellStyle name="style1681906192883" xfId="563"/>
    <cellStyle name="style1681906192883 2" xfId="1369"/>
    <cellStyle name="style1681906192950" xfId="564"/>
    <cellStyle name="style1681906192950 2" xfId="1366"/>
    <cellStyle name="style1681906193003" xfId="565"/>
    <cellStyle name="style1681906193003 2" xfId="1370"/>
    <cellStyle name="style1681906193056" xfId="566"/>
    <cellStyle name="style1681906193056 2" xfId="1363"/>
    <cellStyle name="style1681906193107" xfId="567"/>
    <cellStyle name="style1681906193160" xfId="568"/>
    <cellStyle name="style1681906193160 2" xfId="1368"/>
    <cellStyle name="style1681906193211" xfId="569"/>
    <cellStyle name="style1681906193211 2" xfId="1367"/>
    <cellStyle name="style1681906193265" xfId="570"/>
    <cellStyle name="style1681906193335" xfId="571"/>
    <cellStyle name="style1681906193335 2" xfId="1365"/>
    <cellStyle name="style1681906193386" xfId="572"/>
    <cellStyle name="style1681906193386 2" xfId="1364"/>
    <cellStyle name="style1681906193438" xfId="573"/>
    <cellStyle name="style1681906195511" xfId="574"/>
    <cellStyle name="style1681906195585" xfId="575"/>
    <cellStyle name="style1681906195644" xfId="576"/>
    <cellStyle name="style1681906195703" xfId="577"/>
    <cellStyle name="style1681906195755" xfId="578"/>
    <cellStyle name="style1681906195806" xfId="579"/>
    <cellStyle name="style1681906195857" xfId="580"/>
    <cellStyle name="style1681906195909" xfId="581"/>
    <cellStyle name="style1681906195960" xfId="582"/>
    <cellStyle name="style1681906196012" xfId="583"/>
    <cellStyle name="style1681906196068" xfId="584"/>
    <cellStyle name="style1681906196120" xfId="585"/>
    <cellStyle name="style1681906196171" xfId="586"/>
    <cellStyle name="style1681906196223" xfId="587"/>
    <cellStyle name="style1681906196275" xfId="588"/>
    <cellStyle name="style1681906196325" xfId="589"/>
    <cellStyle name="style1681906196381" xfId="590"/>
    <cellStyle name="style1681906196433" xfId="591"/>
    <cellStyle name="style1681906196484" xfId="592"/>
    <cellStyle name="style1681906196545" xfId="593"/>
    <cellStyle name="style1681906196613" xfId="594"/>
    <cellStyle name="style1681906196669" xfId="595"/>
    <cellStyle name="style1681906196722" xfId="596"/>
    <cellStyle name="style1681906196774" xfId="597"/>
    <cellStyle name="style1681906196826" xfId="598"/>
    <cellStyle name="style1681906196879" xfId="599"/>
    <cellStyle name="style1681906196930" xfId="600"/>
    <cellStyle name="style1681906196982" xfId="601"/>
    <cellStyle name="style1681906197038" xfId="602"/>
    <cellStyle name="style1681906198981" xfId="603"/>
    <cellStyle name="style1681906199042" xfId="604"/>
    <cellStyle name="style1681906199097" xfId="605"/>
    <cellStyle name="style1681906199157" xfId="606"/>
    <cellStyle name="style1681906199209" xfId="607"/>
    <cellStyle name="style1681906199260" xfId="608"/>
    <cellStyle name="style1681906199312" xfId="609"/>
    <cellStyle name="style1681906199376" xfId="610"/>
    <cellStyle name="style1681906199427" xfId="611"/>
    <cellStyle name="style1681906199482" xfId="612"/>
    <cellStyle name="style1681906199540" xfId="613"/>
    <cellStyle name="style1681906199591" xfId="614"/>
    <cellStyle name="style1681906199644" xfId="615"/>
    <cellStyle name="style1681906199696" xfId="616"/>
    <cellStyle name="style1681906199749" xfId="617"/>
    <cellStyle name="style1681906199802" xfId="618"/>
    <cellStyle name="style1681906199880" xfId="619"/>
    <cellStyle name="style1681906199941" xfId="620"/>
    <cellStyle name="style1681906199993" xfId="621"/>
    <cellStyle name="style1681906200055" xfId="622"/>
    <cellStyle name="style1681906200134" xfId="623"/>
    <cellStyle name="style1681906200214" xfId="624"/>
    <cellStyle name="style1681906200293" xfId="625"/>
    <cellStyle name="style1681906200368" xfId="626"/>
    <cellStyle name="style1681906200447" xfId="627"/>
    <cellStyle name="style1681906200531" xfId="628"/>
    <cellStyle name="style1681906200610" xfId="629"/>
    <cellStyle name="style1681906200684" xfId="630"/>
    <cellStyle name="style1681906200764" xfId="631"/>
    <cellStyle name="style1684152850388" xfId="1219"/>
    <cellStyle name="style1684152850466" xfId="1220"/>
    <cellStyle name="style1684152850529" xfId="1218"/>
    <cellStyle name="style1684152850607" xfId="1221"/>
    <cellStyle name="style1684152850654" xfId="1222"/>
    <cellStyle name="style1684152850716" xfId="1227"/>
    <cellStyle name="style1684152850795" xfId="1228"/>
    <cellStyle name="style1684152850951" xfId="1224"/>
    <cellStyle name="style1684152851013" xfId="1225"/>
    <cellStyle name="style1684152851091" xfId="1223"/>
    <cellStyle name="style1684152851154" xfId="1226"/>
    <cellStyle name="style1684152851232" xfId="1229"/>
    <cellStyle name="style1684152851310" xfId="1230"/>
    <cellStyle name="style1684152851373" xfId="1231"/>
    <cellStyle name="style1684152851451" xfId="1232"/>
    <cellStyle name="style1684152851529" xfId="1233"/>
    <cellStyle name="style1684152851591" xfId="1234"/>
    <cellStyle name="style1684152851669" xfId="1240"/>
    <cellStyle name="style1684152851732" xfId="1241"/>
    <cellStyle name="style1684152851810" xfId="1247"/>
    <cellStyle name="style1684152851951" xfId="1248"/>
    <cellStyle name="style1684152852076" xfId="1236"/>
    <cellStyle name="style1684152852185" xfId="1238"/>
    <cellStyle name="style1684152852263" xfId="1239"/>
    <cellStyle name="style1684152852372" xfId="1243"/>
    <cellStyle name="style1684152852482" xfId="1245"/>
    <cellStyle name="style1684152852544" xfId="1246"/>
    <cellStyle name="style1684152852622" xfId="1249"/>
    <cellStyle name="style1684152852685" xfId="1250"/>
    <cellStyle name="style1684152852747" xfId="1251"/>
    <cellStyle name="style1684152852794" xfId="1252"/>
    <cellStyle name="style1684152852857" xfId="1253"/>
    <cellStyle name="style1684152853169" xfId="1235"/>
    <cellStyle name="style1684152853231" xfId="1237"/>
    <cellStyle name="style1684152853278" xfId="1242"/>
    <cellStyle name="style1684152853325" xfId="1244"/>
    <cellStyle name="style1684152940665" xfId="634"/>
    <cellStyle name="style1684152940728" xfId="635"/>
    <cellStyle name="style1684152940790" xfId="633"/>
    <cellStyle name="style1684152940837" xfId="636"/>
    <cellStyle name="style1684152940900" xfId="637"/>
    <cellStyle name="style1684152940947" xfId="638"/>
    <cellStyle name="style1684152940994" xfId="639"/>
    <cellStyle name="style1684152941056" xfId="640"/>
    <cellStyle name="style1684152941103" xfId="641"/>
    <cellStyle name="style1684152941150" xfId="642"/>
    <cellStyle name="style1684152941212" xfId="647"/>
    <cellStyle name="style1684152941259" xfId="648"/>
    <cellStyle name="style1684152941306" xfId="653"/>
    <cellStyle name="style1684152941415" xfId="654"/>
    <cellStyle name="style1684152941462" xfId="1214"/>
    <cellStyle name="style1684152941509" xfId="644"/>
    <cellStyle name="style1684152941572" xfId="1215"/>
    <cellStyle name="style1684152941618" xfId="646"/>
    <cellStyle name="style1684152941665" xfId="1216"/>
    <cellStyle name="style1684152941712" xfId="650"/>
    <cellStyle name="style1684152941759" xfId="1217"/>
    <cellStyle name="style1684152941806" xfId="652"/>
    <cellStyle name="style1684152941868" xfId="655"/>
    <cellStyle name="style1684152941915" xfId="656"/>
    <cellStyle name="style1684152941962" xfId="657"/>
    <cellStyle name="style1684152942009" xfId="658"/>
    <cellStyle name="style1684152942118" xfId="660"/>
    <cellStyle name="style1684152942165" xfId="661"/>
    <cellStyle name="style1684152942212" xfId="659"/>
    <cellStyle name="style1684152942259" xfId="643"/>
    <cellStyle name="style1684152942306" xfId="645"/>
    <cellStyle name="style1684152942353" xfId="649"/>
    <cellStyle name="style1684152942399" xfId="651"/>
    <cellStyle name="style1684152944638" xfId="663"/>
    <cellStyle name="style1684152944685" xfId="664"/>
    <cellStyle name="style1684152944732" xfId="662"/>
    <cellStyle name="style1684152944794" xfId="665"/>
    <cellStyle name="style1684152944857" xfId="666"/>
    <cellStyle name="style1684152944903" xfId="667"/>
    <cellStyle name="style1684152944950" xfId="668"/>
    <cellStyle name="style1684152945028" xfId="669"/>
    <cellStyle name="style1684152945091" xfId="670"/>
    <cellStyle name="style1684152945153" xfId="675"/>
    <cellStyle name="style1684152945216" xfId="671"/>
    <cellStyle name="style1684152945278" xfId="676"/>
    <cellStyle name="style1684152945341" xfId="672"/>
    <cellStyle name="style1684152945403" xfId="673"/>
    <cellStyle name="style1684152945450" xfId="674"/>
    <cellStyle name="style1684152945497" xfId="677"/>
    <cellStyle name="style1684152945544" xfId="678"/>
    <cellStyle name="style1684152945606" xfId="679"/>
    <cellStyle name="style1684152945700" xfId="681"/>
    <cellStyle name="style1684152945747" xfId="682"/>
    <cellStyle name="style1684152945809" xfId="680"/>
    <cellStyle name="style1684152947668" xfId="684"/>
    <cellStyle name="style1684152947715" xfId="685"/>
    <cellStyle name="style1684152947778" xfId="683"/>
    <cellStyle name="style1684152947825" xfId="686"/>
    <cellStyle name="style1684152947887" xfId="690"/>
    <cellStyle name="style1684152947981" xfId="688"/>
    <cellStyle name="style1684152948028" xfId="687"/>
    <cellStyle name="style1684152948137" xfId="689"/>
    <cellStyle name="style1684152948184" xfId="691"/>
    <cellStyle name="style1684152948231" xfId="692"/>
    <cellStyle name="style1684152948293" xfId="693"/>
    <cellStyle name="style1684152948340" xfId="694"/>
    <cellStyle name="style1684152948387" xfId="695"/>
    <cellStyle name="style1684152948449" xfId="700"/>
    <cellStyle name="style1684152948496" xfId="705"/>
    <cellStyle name="style1684152948543" xfId="696"/>
    <cellStyle name="style1684152948590" xfId="697"/>
    <cellStyle name="style1684152948653" xfId="698"/>
    <cellStyle name="style1684152948699" xfId="699"/>
    <cellStyle name="style1684152948746" xfId="701"/>
    <cellStyle name="style1684152948793" xfId="702"/>
    <cellStyle name="style1684152948856" xfId="703"/>
    <cellStyle name="style1684152948903" xfId="704"/>
    <cellStyle name="style1684152948949" xfId="706"/>
    <cellStyle name="style1684152949012" xfId="707"/>
    <cellStyle name="style1684152949059" xfId="708"/>
    <cellStyle name="style1684152949121" xfId="709"/>
    <cellStyle name="style1684152949246" xfId="711"/>
    <cellStyle name="style1684152949309" xfId="712"/>
    <cellStyle name="style1684152949355" xfId="710"/>
    <cellStyle name="style1684152954011" xfId="714"/>
    <cellStyle name="style1684152954058" xfId="715"/>
    <cellStyle name="style1684152954120" xfId="713"/>
    <cellStyle name="style1684152954245" xfId="720"/>
    <cellStyle name="style1684152954292" xfId="724"/>
    <cellStyle name="style1684152954354" xfId="716"/>
    <cellStyle name="style1684152954464" xfId="721"/>
    <cellStyle name="style1684152954526" xfId="725"/>
    <cellStyle name="style1684152954573" xfId="717"/>
    <cellStyle name="style1684152954682" xfId="718"/>
    <cellStyle name="style1684152954729" xfId="746"/>
    <cellStyle name="style1684152954776" xfId="722"/>
    <cellStyle name="style1684152954870" xfId="726"/>
    <cellStyle name="style1684152954917" xfId="719"/>
    <cellStyle name="style1684152954979" xfId="723"/>
    <cellStyle name="style1684152955026" xfId="727"/>
    <cellStyle name="style1684152955073" xfId="728"/>
    <cellStyle name="style1684152955120" xfId="730"/>
    <cellStyle name="style1684152955167" xfId="733"/>
    <cellStyle name="style1684152955198" xfId="729"/>
    <cellStyle name="style1684152955245" xfId="731"/>
    <cellStyle name="style1684152955292" xfId="732"/>
    <cellStyle name="style1684152955339" xfId="734"/>
    <cellStyle name="style1684152955370" xfId="735"/>
    <cellStyle name="style1684152955432" xfId="736"/>
    <cellStyle name="style1684152955479" xfId="737"/>
    <cellStyle name="style1684152955526" xfId="738"/>
    <cellStyle name="style1684152955573" xfId="739"/>
    <cellStyle name="style1684152955635" xfId="740"/>
    <cellStyle name="style1684152955682" xfId="741"/>
    <cellStyle name="style1684152955729" xfId="742"/>
    <cellStyle name="style1684152955776" xfId="743"/>
    <cellStyle name="style1684152955838" xfId="744"/>
    <cellStyle name="style1684152955885" xfId="745"/>
    <cellStyle name="style1684152955932" xfId="747"/>
    <cellStyle name="style1684152955979" xfId="748"/>
    <cellStyle name="style1684152956026" xfId="749"/>
    <cellStyle name="style1684152956073" xfId="750"/>
    <cellStyle name="style1684152956120" xfId="751"/>
    <cellStyle name="style1684152956166" xfId="752"/>
    <cellStyle name="style1684152956213" xfId="753"/>
    <cellStyle name="style1684152956260" xfId="754"/>
    <cellStyle name="style1684152956370" xfId="756"/>
    <cellStyle name="style1684152956416" xfId="757"/>
    <cellStyle name="style1684152956463" xfId="755"/>
    <cellStyle name="style1684152956510" xfId="758"/>
    <cellStyle name="style1684152956557" xfId="759"/>
    <cellStyle name="style1684152956604" xfId="760"/>
    <cellStyle name="style1684152956651" xfId="761"/>
    <cellStyle name="style1684152956698" xfId="762"/>
    <cellStyle name="style1684152956729" xfId="763"/>
    <cellStyle name="style1684152956776" xfId="764"/>
    <cellStyle name="style1684152956823" xfId="765"/>
    <cellStyle name="style1684152961603" xfId="767"/>
    <cellStyle name="style1684152961650" xfId="768"/>
    <cellStyle name="style1684152961712" xfId="766"/>
    <cellStyle name="style1684152961821" xfId="773"/>
    <cellStyle name="style1684152961868" xfId="777"/>
    <cellStyle name="style1684152961931" xfId="769"/>
    <cellStyle name="style1684152962024" xfId="774"/>
    <cellStyle name="style1684152962071" xfId="778"/>
    <cellStyle name="style1684152962134" xfId="770"/>
    <cellStyle name="style1684152962227" xfId="771"/>
    <cellStyle name="style1684152962274" xfId="799"/>
    <cellStyle name="style1684152962321" xfId="775"/>
    <cellStyle name="style1684152962415" xfId="779"/>
    <cellStyle name="style1684152962462" xfId="772"/>
    <cellStyle name="style1684152962509" xfId="776"/>
    <cellStyle name="style1684152962556" xfId="780"/>
    <cellStyle name="style1684152962602" xfId="781"/>
    <cellStyle name="style1684152962649" xfId="783"/>
    <cellStyle name="style1684152962696" xfId="786"/>
    <cellStyle name="style1684152962727" xfId="782"/>
    <cellStyle name="style1684152962774" xfId="784"/>
    <cellStyle name="style1684152962821" xfId="785"/>
    <cellStyle name="style1684152962868" xfId="787"/>
    <cellStyle name="style1684152962899" xfId="788"/>
    <cellStyle name="style1684152962962" xfId="789"/>
    <cellStyle name="style1684152963009" xfId="790"/>
    <cellStyle name="style1684152963055" xfId="791"/>
    <cellStyle name="style1684152963102" xfId="792"/>
    <cellStyle name="style1684152963149" xfId="793"/>
    <cellStyle name="style1684152963212" xfId="794"/>
    <cellStyle name="style1684152963259" xfId="795"/>
    <cellStyle name="style1684152963305" xfId="796"/>
    <cellStyle name="style1684152963352" xfId="797"/>
    <cellStyle name="style1684152963399" xfId="798"/>
    <cellStyle name="style1684152963462" xfId="800"/>
    <cellStyle name="style1684152963508" xfId="801"/>
    <cellStyle name="style1684152963555" xfId="802"/>
    <cellStyle name="style1684152963602" xfId="803"/>
    <cellStyle name="style1684152963649" xfId="804"/>
    <cellStyle name="style1684152963696" xfId="805"/>
    <cellStyle name="style1684152963743" xfId="806"/>
    <cellStyle name="style1684152963790" xfId="807"/>
    <cellStyle name="style1684152963883" xfId="809"/>
    <cellStyle name="style1684152963946" xfId="810"/>
    <cellStyle name="style1684152963993" xfId="808"/>
    <cellStyle name="style1684152964040" xfId="811"/>
    <cellStyle name="style1684152964086" xfId="812"/>
    <cellStyle name="style1684152964118" xfId="813"/>
    <cellStyle name="style1684152964165" xfId="814"/>
    <cellStyle name="style1684152968865" xfId="816"/>
    <cellStyle name="style1684152968912" xfId="817"/>
    <cellStyle name="style1684152968974" xfId="815"/>
    <cellStyle name="style1684152969021" xfId="818"/>
    <cellStyle name="style1684152969083" xfId="822"/>
    <cellStyle name="style1684152969130" xfId="819"/>
    <cellStyle name="style1684152969193" xfId="820"/>
    <cellStyle name="style1684152969240" xfId="821"/>
    <cellStyle name="style1684152969287" xfId="823"/>
    <cellStyle name="style1684152969333" xfId="824"/>
    <cellStyle name="style1684152969380" xfId="825"/>
    <cellStyle name="style1684152969443" xfId="826"/>
    <cellStyle name="style1684152969490" xfId="830"/>
    <cellStyle name="style1684152969536" xfId="834"/>
    <cellStyle name="style1684152969599" xfId="827"/>
    <cellStyle name="style1684152969646" xfId="828"/>
    <cellStyle name="style1684152969693" xfId="829"/>
    <cellStyle name="style1684152969740" xfId="831"/>
    <cellStyle name="style1684152969786" xfId="832"/>
    <cellStyle name="style1684152969849" xfId="833"/>
    <cellStyle name="style1684152969896" xfId="835"/>
    <cellStyle name="style1684152969958" xfId="836"/>
    <cellStyle name="style1684152970005" xfId="837"/>
    <cellStyle name="style1684152971864" xfId="839"/>
    <cellStyle name="style1684152971927" xfId="840"/>
    <cellStyle name="style1684152971973" xfId="838"/>
    <cellStyle name="style1684152972036" xfId="841"/>
    <cellStyle name="style1684152972083" xfId="842"/>
    <cellStyle name="style1684152972130" xfId="843"/>
    <cellStyle name="style1684152972176" xfId="844"/>
    <cellStyle name="style1684152972239" xfId="845"/>
    <cellStyle name="style1684152972286" xfId="849"/>
    <cellStyle name="style1684152972348" xfId="846"/>
    <cellStyle name="style1684152972395" xfId="850"/>
    <cellStyle name="style1684152972442" xfId="847"/>
    <cellStyle name="style1684152972489" xfId="848"/>
    <cellStyle name="style1684152972536" xfId="851"/>
    <cellStyle name="style1684152972583" xfId="852"/>
    <cellStyle name="style1684152972692" xfId="854"/>
    <cellStyle name="style1684152972739" xfId="855"/>
    <cellStyle name="style1684152972786" xfId="853"/>
    <cellStyle name="style1684152974848" xfId="857"/>
    <cellStyle name="style1684152974895" xfId="858"/>
    <cellStyle name="style1684152974957" xfId="856"/>
    <cellStyle name="style1684152975004" xfId="859"/>
    <cellStyle name="style1684152975051" xfId="860"/>
    <cellStyle name="style1684152975098" xfId="861"/>
    <cellStyle name="style1684152975160" xfId="862"/>
    <cellStyle name="style1684152975207" xfId="863"/>
    <cellStyle name="style1684152975254" xfId="864"/>
    <cellStyle name="style1684152975301" xfId="865"/>
    <cellStyle name="style1684152975348" xfId="870"/>
    <cellStyle name="style1684152975410" xfId="871"/>
    <cellStyle name="style1684152975457" xfId="876"/>
    <cellStyle name="style1684152975566" xfId="877"/>
    <cellStyle name="style1684152975598" xfId="866"/>
    <cellStyle name="style1684152975660" xfId="867"/>
    <cellStyle name="style1684152975707" xfId="868"/>
    <cellStyle name="style1684152975738" xfId="869"/>
    <cellStyle name="style1684152975785" xfId="872"/>
    <cellStyle name="style1684152975847" xfId="873"/>
    <cellStyle name="style1684152975894" xfId="874"/>
    <cellStyle name="style1684152975941" xfId="875"/>
    <cellStyle name="style1684152975988" xfId="878"/>
    <cellStyle name="style1684152976035" xfId="879"/>
    <cellStyle name="style1684152976082" xfId="880"/>
    <cellStyle name="style1684152976129" xfId="881"/>
    <cellStyle name="style1684152976254" xfId="883"/>
    <cellStyle name="style1684152976316" xfId="884"/>
    <cellStyle name="style1684152976363" xfId="882"/>
    <cellStyle name="style1684152976394" xfId="885"/>
    <cellStyle name="style1684152976457" xfId="886"/>
    <cellStyle name="style1684152976504" xfId="889"/>
    <cellStyle name="style1684152976550" xfId="892"/>
    <cellStyle name="style1684152976597" xfId="887"/>
    <cellStyle name="style1684152976644" xfId="888"/>
    <cellStyle name="style1684152976675" xfId="890"/>
    <cellStyle name="style1684152976722" xfId="891"/>
    <cellStyle name="style1684152976769" xfId="893"/>
    <cellStyle name="style1684152976816" xfId="894"/>
    <cellStyle name="style1684152978847" xfId="896"/>
    <cellStyle name="style1684152978894" xfId="897"/>
    <cellStyle name="style1684152978941" xfId="895"/>
    <cellStyle name="style1684152979003" xfId="898"/>
    <cellStyle name="style1684152979034" xfId="899"/>
    <cellStyle name="style1684152979081" xfId="904"/>
    <cellStyle name="style1684152979128" xfId="905"/>
    <cellStyle name="style1684152979237" xfId="901"/>
    <cellStyle name="style1684152979284" xfId="902"/>
    <cellStyle name="style1684152979331" xfId="900"/>
    <cellStyle name="style1684152979378" xfId="903"/>
    <cellStyle name="style1684152979425" xfId="906"/>
    <cellStyle name="style1684152979487" xfId="907"/>
    <cellStyle name="style1684152979534" xfId="908"/>
    <cellStyle name="style1684152979581" xfId="909"/>
    <cellStyle name="style1684152979628" xfId="910"/>
    <cellStyle name="style1684152979690" xfId="911"/>
    <cellStyle name="style1684152979737" xfId="917"/>
    <cellStyle name="style1684152979784" xfId="918"/>
    <cellStyle name="style1684152979831" xfId="924"/>
    <cellStyle name="style1684152979940" xfId="925"/>
    <cellStyle name="style1684152979987" xfId="912"/>
    <cellStyle name="style1684152980034" xfId="913"/>
    <cellStyle name="style1684152980081" xfId="914"/>
    <cellStyle name="style1684152980112" xfId="915"/>
    <cellStyle name="style1684152980175" xfId="916"/>
    <cellStyle name="style1684152980221" xfId="919"/>
    <cellStyle name="style1684152980268" xfId="920"/>
    <cellStyle name="style1684152980315" xfId="921"/>
    <cellStyle name="style1684152980362" xfId="922"/>
    <cellStyle name="style1684152980409" xfId="923"/>
    <cellStyle name="style1684152980471" xfId="926"/>
    <cellStyle name="style1684152980518" xfId="927"/>
    <cellStyle name="style1684152980565" xfId="928"/>
    <cellStyle name="style1684152980612" xfId="929"/>
    <cellStyle name="style1684152980675" xfId="930"/>
    <cellStyle name="style1684152980768" xfId="932"/>
    <cellStyle name="style1684152980815" xfId="933"/>
    <cellStyle name="style1684152980862" xfId="931"/>
    <cellStyle name="style1684152980909" xfId="934"/>
    <cellStyle name="style1684152980956" xfId="935"/>
    <cellStyle name="style1684152981018" xfId="936"/>
    <cellStyle name="style1684152981065" xfId="941"/>
    <cellStyle name="style1684152981112" xfId="946"/>
    <cellStyle name="style1684152981159" xfId="937"/>
    <cellStyle name="style1684152981206" xfId="938"/>
    <cellStyle name="style1684152981252" xfId="939"/>
    <cellStyle name="style1684152981299" xfId="940"/>
    <cellStyle name="style1684152981331" xfId="942"/>
    <cellStyle name="style1684152981377" xfId="943"/>
    <cellStyle name="style1684152981424" xfId="944"/>
    <cellStyle name="style1684152981471" xfId="945"/>
    <cellStyle name="style1684152981518" xfId="947"/>
    <cellStyle name="style1684152981565" xfId="948"/>
    <cellStyle name="style1684152981596" xfId="949"/>
    <cellStyle name="style1684152981643" xfId="950"/>
    <cellStyle name="style1684152983689" xfId="952"/>
    <cellStyle name="style1684152983736" xfId="953"/>
    <cellStyle name="style1684152983783" xfId="951"/>
    <cellStyle name="style1684152983830" xfId="954"/>
    <cellStyle name="style1684152983877" xfId="955"/>
    <cellStyle name="style1684152983924" xfId="960"/>
    <cellStyle name="style1684152983971" xfId="961"/>
    <cellStyle name="style1684152984064" xfId="957"/>
    <cellStyle name="style1684152984111" xfId="958"/>
    <cellStyle name="style1684152984158" xfId="956"/>
    <cellStyle name="style1684152984221" xfId="959"/>
    <cellStyle name="style1684152984267" xfId="962"/>
    <cellStyle name="style1684152984314" xfId="963"/>
    <cellStyle name="style1684152984361" xfId="964"/>
    <cellStyle name="style1684152984408" xfId="965"/>
    <cellStyle name="style1684152984470" xfId="966"/>
    <cellStyle name="style1684152984517" xfId="967"/>
    <cellStyle name="style1684152984564" xfId="973"/>
    <cellStyle name="style1684152984611" xfId="974"/>
    <cellStyle name="style1684152984674" xfId="980"/>
    <cellStyle name="style1684152984767" xfId="981"/>
    <cellStyle name="style1684152984814" xfId="968"/>
    <cellStyle name="style1684152984861" xfId="969"/>
    <cellStyle name="style1684152984908" xfId="970"/>
    <cellStyle name="style1684152984955" xfId="971"/>
    <cellStyle name="style1684152985002" xfId="972"/>
    <cellStyle name="style1684152985048" xfId="975"/>
    <cellStyle name="style1684152985095" xfId="976"/>
    <cellStyle name="style1684152985142" xfId="977"/>
    <cellStyle name="style1684152985189" xfId="978"/>
    <cellStyle name="style1684152985236" xfId="979"/>
    <cellStyle name="style1684152985283" xfId="982"/>
    <cellStyle name="style1684152985345" xfId="983"/>
    <cellStyle name="style1684152985392" xfId="984"/>
    <cellStyle name="style1684152985439" xfId="985"/>
    <cellStyle name="style1684152985486" xfId="986"/>
    <cellStyle name="style1684152985580" xfId="988"/>
    <cellStyle name="style1684152985626" xfId="989"/>
    <cellStyle name="style1684152985673" xfId="987"/>
    <cellStyle name="style1684152985720" xfId="990"/>
    <cellStyle name="style1684152985767" xfId="991"/>
    <cellStyle name="style1684152985830" xfId="992"/>
    <cellStyle name="style1684152985876" xfId="997"/>
    <cellStyle name="style1684152985923" xfId="1002"/>
    <cellStyle name="style1684152985970" xfId="993"/>
    <cellStyle name="style1684152986017" xfId="994"/>
    <cellStyle name="style1684152986064" xfId="995"/>
    <cellStyle name="style1684152986095" xfId="996"/>
    <cellStyle name="style1684152986142" xfId="998"/>
    <cellStyle name="style1684152986189" xfId="999"/>
    <cellStyle name="style1684152986236" xfId="1000"/>
    <cellStyle name="style1684152986267" xfId="1001"/>
    <cellStyle name="style1684152986314" xfId="1003"/>
    <cellStyle name="style1684152986361" xfId="1004"/>
    <cellStyle name="style1684152986408" xfId="1005"/>
    <cellStyle name="style1684152986454" xfId="1006"/>
    <cellStyle name="style1684152990969" xfId="1008"/>
    <cellStyle name="style1684152991016" xfId="1009"/>
    <cellStyle name="style1684152991063" xfId="1007"/>
    <cellStyle name="style1684152991172" xfId="1014"/>
    <cellStyle name="style1684152991235" xfId="1018"/>
    <cellStyle name="style1684152991281" xfId="1010"/>
    <cellStyle name="style1684152991375" xfId="1015"/>
    <cellStyle name="style1684152991422" xfId="1019"/>
    <cellStyle name="style1684152991484" xfId="1011"/>
    <cellStyle name="style1684152991578" xfId="1012"/>
    <cellStyle name="style1684152991672" xfId="1016"/>
    <cellStyle name="style1684152991766" xfId="1020"/>
    <cellStyle name="style1684152991797" xfId="1013"/>
    <cellStyle name="style1684152991844" xfId="1017"/>
    <cellStyle name="style1684152991906" xfId="1021"/>
    <cellStyle name="style1684152991953" xfId="1022"/>
    <cellStyle name="style1684152991984" xfId="1024"/>
    <cellStyle name="style1684152992031" xfId="1027"/>
    <cellStyle name="style1684152992078" xfId="1023"/>
    <cellStyle name="style1684152992125" xfId="1025"/>
    <cellStyle name="style1684152992156" xfId="1026"/>
    <cellStyle name="style1684152992203" xfId="1028"/>
    <cellStyle name="style1684152992250" xfId="1029"/>
    <cellStyle name="style1684152992297" xfId="1033"/>
    <cellStyle name="style1684152992406" xfId="1031"/>
    <cellStyle name="style1684152992453" xfId="1030"/>
    <cellStyle name="style1684152992531" xfId="1032"/>
    <cellStyle name="style1684152992594" xfId="1034"/>
    <cellStyle name="style1684152992640" xfId="1035"/>
    <cellStyle name="style1684152992687" xfId="1036"/>
    <cellStyle name="style1684152992734" xfId="1037"/>
    <cellStyle name="style1684152992781" xfId="1038"/>
    <cellStyle name="style1684152992844" xfId="1039"/>
    <cellStyle name="style1684152992890" xfId="1040"/>
    <cellStyle name="style1684152992937" xfId="1041"/>
    <cellStyle name="style1684152992984" xfId="1042"/>
    <cellStyle name="style1684152993047" xfId="1043"/>
    <cellStyle name="style1684152993093" xfId="1044"/>
    <cellStyle name="style1684152993140" xfId="1045"/>
    <cellStyle name="style1684152993203" xfId="1046"/>
    <cellStyle name="style1684152993250" xfId="1047"/>
    <cellStyle name="style1684152993297" xfId="1048"/>
    <cellStyle name="style1684152993343" xfId="1049"/>
    <cellStyle name="style1684152993390" xfId="1050"/>
    <cellStyle name="style1684152993484" xfId="1052"/>
    <cellStyle name="style1684152993531" xfId="1053"/>
    <cellStyle name="style1684152993593" xfId="1051"/>
    <cellStyle name="style1684152998092" xfId="1055"/>
    <cellStyle name="style1684152998139" xfId="1056"/>
    <cellStyle name="style1684152998202" xfId="1054"/>
    <cellStyle name="style1684152998295" xfId="1061"/>
    <cellStyle name="style1684152998358" xfId="1065"/>
    <cellStyle name="style1684152998405" xfId="1057"/>
    <cellStyle name="style1684152998514" xfId="1062"/>
    <cellStyle name="style1684152998561" xfId="1066"/>
    <cellStyle name="style1684152998608" xfId="1058"/>
    <cellStyle name="style1684152998701" xfId="1059"/>
    <cellStyle name="style1684152998795" xfId="1063"/>
    <cellStyle name="style1684152998889" xfId="1067"/>
    <cellStyle name="style1684152998936" xfId="1060"/>
    <cellStyle name="style1684152998983" xfId="1064"/>
    <cellStyle name="style1684152999030" xfId="1068"/>
    <cellStyle name="style1684152999076" xfId="1069"/>
    <cellStyle name="style1684152999123" xfId="1071"/>
    <cellStyle name="style1684152999170" xfId="1074"/>
    <cellStyle name="style1684152999201" xfId="1070"/>
    <cellStyle name="style1684152999248" xfId="1072"/>
    <cellStyle name="style1684152999295" xfId="1073"/>
    <cellStyle name="style1684152999342" xfId="1075"/>
    <cellStyle name="style1684152999373" xfId="1076"/>
    <cellStyle name="style1684152999436" xfId="1080"/>
    <cellStyle name="style1684152999529" xfId="1078"/>
    <cellStyle name="style1684152999576" xfId="1077"/>
    <cellStyle name="style1684152999670" xfId="1079"/>
    <cellStyle name="style1684152999717" xfId="1081"/>
    <cellStyle name="style1684152999764" xfId="1082"/>
    <cellStyle name="style1684152999811" xfId="1083"/>
    <cellStyle name="style1684152999857" xfId="1084"/>
    <cellStyle name="style1684152999904" xfId="1085"/>
    <cellStyle name="style1684152999951" xfId="1086"/>
    <cellStyle name="style1684153000014" xfId="1087"/>
    <cellStyle name="style1684153000061" xfId="1088"/>
    <cellStyle name="style1684153000107" xfId="1089"/>
    <cellStyle name="style1684153000154" xfId="1090"/>
    <cellStyle name="style1684153000201" xfId="1091"/>
    <cellStyle name="style1684153000248" xfId="1092"/>
    <cellStyle name="style1684153000295" xfId="1093"/>
    <cellStyle name="style1684153000342" xfId="1094"/>
    <cellStyle name="style1684153000404" xfId="1095"/>
    <cellStyle name="style1684153000451" xfId="1096"/>
    <cellStyle name="style1684153000498" xfId="1097"/>
    <cellStyle name="style1684153000592" xfId="1099"/>
    <cellStyle name="style1684153000639" xfId="1100"/>
    <cellStyle name="style1684153000685" xfId="1098"/>
    <cellStyle name="style1684153006809" xfId="1102"/>
    <cellStyle name="style1684153006856" xfId="1103"/>
    <cellStyle name="style1684153006918" xfId="1101"/>
    <cellStyle name="style1684153006965" xfId="1104"/>
    <cellStyle name="style1684153007028" xfId="1108"/>
    <cellStyle name="style1684153007090" xfId="1128"/>
    <cellStyle name="style1684153007153" xfId="1106"/>
    <cellStyle name="style1684153007200" xfId="1105"/>
    <cellStyle name="style1684153007262" xfId="1129"/>
    <cellStyle name="style1684153007309" xfId="1107"/>
    <cellStyle name="style1684153007356" xfId="1109"/>
    <cellStyle name="style1684153007403" xfId="1110"/>
    <cellStyle name="style1684153007449" xfId="1111"/>
    <cellStyle name="style1684153007496" xfId="1112"/>
    <cellStyle name="style1684153007559" xfId="1113"/>
    <cellStyle name="style1684153007606" xfId="1118"/>
    <cellStyle name="style1684153007653" xfId="1123"/>
    <cellStyle name="style1684153007699" xfId="1114"/>
    <cellStyle name="style1684153007762" xfId="1115"/>
    <cellStyle name="style1684153007809" xfId="1116"/>
    <cellStyle name="style1684153007856" xfId="1117"/>
    <cellStyle name="style1684153007902" xfId="1119"/>
    <cellStyle name="style1684153007949" xfId="1120"/>
    <cellStyle name="style1684153007996" xfId="1121"/>
    <cellStyle name="style1684153008059" xfId="1122"/>
    <cellStyle name="style1684153008106" xfId="1124"/>
    <cellStyle name="style1684153008152" xfId="1125"/>
    <cellStyle name="style1684153008199" xfId="1126"/>
    <cellStyle name="style1684153008262" xfId="1127"/>
    <cellStyle name="style1684153008324" xfId="1130"/>
    <cellStyle name="style1684153008371" xfId="1131"/>
    <cellStyle name="style1684153008434" xfId="1132"/>
    <cellStyle name="style1684153008496" xfId="1133"/>
    <cellStyle name="style1684153008543" xfId="1134"/>
    <cellStyle name="style1714132595199" xfId="1135"/>
    <cellStyle name="style1714132595268" xfId="1136"/>
    <cellStyle name="style1714132595362" xfId="1137"/>
    <cellStyle name="style1714370194500" xfId="1163"/>
    <cellStyle name="style1714370194562" xfId="1164"/>
    <cellStyle name="style1714370194593" xfId="1165"/>
    <cellStyle name="style1714370194609" xfId="1166"/>
    <cellStyle name="style1714370194625" xfId="1167"/>
    <cellStyle name="style1714370194656" xfId="1168"/>
    <cellStyle name="style1714370194672" xfId="1173"/>
    <cellStyle name="style1714370194703" xfId="1169"/>
    <cellStyle name="style1714370194718" xfId="1170"/>
    <cellStyle name="style1714370194765" xfId="1174"/>
    <cellStyle name="style1714370194797" xfId="1175"/>
    <cellStyle name="style1714370194828" xfId="1171"/>
    <cellStyle name="style1714370194859" xfId="1172"/>
    <cellStyle name="style1714370194875" xfId="1176"/>
    <cellStyle name="style1714370194922" xfId="1177"/>
    <cellStyle name="style1714370194937" xfId="1178"/>
    <cellStyle name="style1714465104377" xfId="1138"/>
    <cellStyle name="style1714465104736" xfId="1139"/>
    <cellStyle name="style1714465104767" xfId="1143"/>
    <cellStyle name="style1714465104783" xfId="1140"/>
    <cellStyle name="style1714465104798" xfId="1141"/>
    <cellStyle name="style1714465104830" xfId="1142"/>
    <cellStyle name="style1714465104845" xfId="1144"/>
    <cellStyle name="style1714465104877" xfId="1145"/>
    <cellStyle name="style1714465104892" xfId="1146"/>
    <cellStyle name="style1714465104923" xfId="1147"/>
    <cellStyle name="style1714465104939" xfId="1152"/>
    <cellStyle name="style1714465104970" xfId="1158"/>
    <cellStyle name="style1714465104986" xfId="1148"/>
    <cellStyle name="style1714465105002" xfId="1149"/>
    <cellStyle name="style1714465105033" xfId="1150"/>
    <cellStyle name="style1714465105049" xfId="1151"/>
    <cellStyle name="style1714465105064" xfId="1153"/>
    <cellStyle name="style1714465105095" xfId="1154"/>
    <cellStyle name="style1714465105127" xfId="1155"/>
    <cellStyle name="style1714465105142" xfId="1156"/>
    <cellStyle name="style1714465105158" xfId="1157"/>
    <cellStyle name="style1714465105205" xfId="1159"/>
    <cellStyle name="style1714465105220" xfId="1160"/>
    <cellStyle name="style1714465105252" xfId="1161"/>
    <cellStyle name="style1714465105298" xfId="1162"/>
    <cellStyle name="style1719484786970" xfId="1180"/>
    <cellStyle name="style1719484786986" xfId="1187"/>
    <cellStyle name="style1719484787017" xfId="1188"/>
    <cellStyle name="style1719484787033" xfId="1190"/>
    <cellStyle name="style1719484787049" xfId="1191"/>
    <cellStyle name="style1719484787080" xfId="1194"/>
    <cellStyle name="style1719484787236" xfId="1181"/>
    <cellStyle name="style1719484787252" xfId="1182"/>
    <cellStyle name="style1719484787267" xfId="1184"/>
    <cellStyle name="style1719484787283" xfId="1185"/>
    <cellStyle name="style1719484787299" xfId="1199"/>
    <cellStyle name="style1719484787314" xfId="1200"/>
    <cellStyle name="style1719484787345" xfId="1197"/>
    <cellStyle name="style1719484787361" xfId="1183"/>
    <cellStyle name="style1719484787408" xfId="1198"/>
    <cellStyle name="style1719484787424" xfId="1186"/>
    <cellStyle name="style1719484787470" xfId="1201"/>
    <cellStyle name="style1719484787486" xfId="1202"/>
    <cellStyle name="style1719484787533" xfId="1195"/>
    <cellStyle name="style1719484787549" xfId="1203"/>
    <cellStyle name="style1719484787580" xfId="1204"/>
    <cellStyle name="style1719484787642" xfId="1205"/>
    <cellStyle name="style1719484787689" xfId="1206"/>
    <cellStyle name="style1719484787752" xfId="1196"/>
    <cellStyle name="style1719484787783" xfId="1207"/>
    <cellStyle name="style1719484787814" xfId="1208"/>
    <cellStyle name="style1719484787845" xfId="1209"/>
    <cellStyle name="style1719484787861" xfId="1189"/>
    <cellStyle name="style1719484787877" xfId="1210"/>
    <cellStyle name="style1719484787892" xfId="1192"/>
    <cellStyle name="style1719484787908" xfId="1211"/>
    <cellStyle name="style1719484787924" xfId="1193"/>
    <cellStyle name="style1719484788002" xfId="1212"/>
    <cellStyle name="style1719484788017" xfId="1213"/>
    <cellStyle name="style1720276347946" xfId="1254"/>
    <cellStyle name="style1720276347993" xfId="1260"/>
    <cellStyle name="style1720276348024" xfId="1261"/>
    <cellStyle name="style1720276348071" xfId="1265"/>
    <cellStyle name="style1720276348118" xfId="1266"/>
    <cellStyle name="style1720276348149" xfId="1270"/>
    <cellStyle name="style1720276348196" xfId="1271"/>
    <cellStyle name="style1720276348524" xfId="1255"/>
    <cellStyle name="style1720276348571" xfId="1256"/>
    <cellStyle name="style1720276348618" xfId="1257"/>
    <cellStyle name="style1720276348649" xfId="1258"/>
    <cellStyle name="style1720276348696" xfId="1259"/>
    <cellStyle name="style1720276348743" xfId="1262"/>
    <cellStyle name="style1720276348775" xfId="1263"/>
    <cellStyle name="style1720276348822" xfId="1264"/>
    <cellStyle name="style1720276348869" xfId="1267"/>
    <cellStyle name="style1720276348900" xfId="1268"/>
    <cellStyle name="style1720276348947" xfId="1269"/>
    <cellStyle name="style1720276349056" xfId="1272"/>
    <cellStyle name="style1720276349103" xfId="1273"/>
    <cellStyle name="style1720276349134" xfId="1274"/>
    <cellStyle name="style1720276349181" xfId="1275"/>
    <cellStyle name="style1720277432611" xfId="1276"/>
    <cellStyle name="style1720277432642" xfId="1285"/>
    <cellStyle name="style1720277432674" xfId="1286"/>
    <cellStyle name="style1720277432721" xfId="1289"/>
    <cellStyle name="style1720277432752" xfId="1290"/>
    <cellStyle name="style1720277432799" xfId="1293"/>
    <cellStyle name="style1720277433080" xfId="1277"/>
    <cellStyle name="style1720277433111" xfId="1278"/>
    <cellStyle name="style1720277433142" xfId="1281"/>
    <cellStyle name="style1720277433174" xfId="1282"/>
    <cellStyle name="style1720277433205" xfId="1279"/>
    <cellStyle name="style1720277433314" xfId="1280"/>
    <cellStyle name="style1720277433392" xfId="1283"/>
    <cellStyle name="style1720277433432" xfId="1284"/>
    <cellStyle name="style1720277433541" xfId="1287"/>
    <cellStyle name="style1720277433619" xfId="1288"/>
    <cellStyle name="style1720277433698" xfId="1291"/>
    <cellStyle name="style1720277433760" xfId="1292"/>
    <cellStyle name="style1720277433885" xfId="1294"/>
    <cellStyle name="style1720277433948" xfId="1295"/>
    <cellStyle name="style1720277433979" xfId="1296"/>
    <cellStyle name="style1720351591797" xfId="1297"/>
    <cellStyle name="style1720351591844" xfId="1304"/>
    <cellStyle name="style1720351592000" xfId="1307"/>
    <cellStyle name="style1720351592094" xfId="1310"/>
    <cellStyle name="style1720351592485" xfId="1298"/>
    <cellStyle name="style1720351592547" xfId="1301"/>
    <cellStyle name="style1720351592625" xfId="1299"/>
    <cellStyle name="style1720351592657" xfId="1300"/>
    <cellStyle name="style1720351592750" xfId="1302"/>
    <cellStyle name="style1720351592782" xfId="1303"/>
    <cellStyle name="style1720351592891" xfId="1305"/>
    <cellStyle name="style1720351592969" xfId="1306"/>
    <cellStyle name="style1720351593047" xfId="1308"/>
    <cellStyle name="style1720351593130" xfId="1309"/>
    <cellStyle name="style1720351593302" xfId="1311"/>
    <cellStyle name="style1720351593380" xfId="1312"/>
    <cellStyle name="style1720351593443" xfId="1313"/>
    <cellStyle name="style1720351593474" xfId="1314"/>
    <cellStyle name="style1720351593505" xfId="1315"/>
    <cellStyle name="style1720351593536" xfId="1316"/>
    <cellStyle name="style1725367209481" xfId="1317"/>
    <cellStyle name="style1725367209497" xfId="1326"/>
    <cellStyle name="style1725367209513" xfId="1327"/>
    <cellStyle name="style1725367209544" xfId="1330"/>
    <cellStyle name="style1725367209559" xfId="1331"/>
    <cellStyle name="style1725367209591" xfId="1334"/>
    <cellStyle name="style1725367209747" xfId="1318"/>
    <cellStyle name="style1725367209763" xfId="1319"/>
    <cellStyle name="style1725367209778" xfId="1322"/>
    <cellStyle name="style1725367209794" xfId="1323"/>
    <cellStyle name="style1725367209809" xfId="1320"/>
    <cellStyle name="style1725367209825" xfId="1321"/>
    <cellStyle name="style1725367209856" xfId="1324"/>
    <cellStyle name="style1725367209934" xfId="1325"/>
    <cellStyle name="style1725367210153" xfId="1335"/>
    <cellStyle name="style1725367210184" xfId="1336"/>
    <cellStyle name="style1725367210216" xfId="1328"/>
    <cellStyle name="style1725367210231" xfId="1329"/>
    <cellStyle name="style1725367210247" xfId="1332"/>
    <cellStyle name="style1725367210263" xfId="1333"/>
    <cellStyle name="style1727718792179" xfId="1337"/>
    <cellStyle name="style1727718793007" xfId="1338"/>
    <cellStyle name="style1727718793069" xfId="1342"/>
    <cellStyle name="style1727718793116" xfId="1339"/>
    <cellStyle name="style1727718793179" xfId="1340"/>
    <cellStyle name="style1727718793241" xfId="1341"/>
    <cellStyle name="style1727718793304" xfId="1343"/>
    <cellStyle name="style1727718793366" xfId="1344"/>
    <cellStyle name="style1727718793429" xfId="1345"/>
    <cellStyle name="style1727718793554" xfId="1346"/>
    <cellStyle name="style1727718793601" xfId="1350"/>
    <cellStyle name="style1727718793679" xfId="1355"/>
    <cellStyle name="style1727765959001" xfId="1347"/>
    <cellStyle name="style1727765959032" xfId="1348"/>
    <cellStyle name="style1727765959048" xfId="1349"/>
    <cellStyle name="style1727765959079" xfId="1351"/>
    <cellStyle name="style1727765959126" xfId="1352"/>
    <cellStyle name="style1727765959157" xfId="1353"/>
    <cellStyle name="style1727765959173" xfId="1354"/>
    <cellStyle name="style1727765959204" xfId="1356"/>
    <cellStyle name="style1727765959235" xfId="1357"/>
    <cellStyle name="style1727765959266" xfId="1358"/>
    <cellStyle name="style1727765959298" xfId="1359"/>
    <cellStyle name="style1727765959313" xfId="1360"/>
    <cellStyle name="style1727765959345" xfId="1361"/>
    <cellStyle name="style1727871638551" xfId="1407"/>
    <cellStyle name="style1727871638582" xfId="1416"/>
    <cellStyle name="style1727871638598" xfId="1417"/>
    <cellStyle name="style1727871638629" xfId="1420"/>
    <cellStyle name="style1727871638661" xfId="1421"/>
    <cellStyle name="style1727871638692" xfId="1424"/>
    <cellStyle name="style1727871638942" xfId="1408"/>
    <cellStyle name="style1727871638957" xfId="1409"/>
    <cellStyle name="style1727871638989" xfId="1412"/>
    <cellStyle name="style1727871639004" xfId="1413"/>
    <cellStyle name="style1727871639020" xfId="1410"/>
    <cellStyle name="style1727871639051" xfId="1411"/>
    <cellStyle name="style1727871639098" xfId="1414"/>
    <cellStyle name="style1727871639129" xfId="1415"/>
    <cellStyle name="style1727871639207" xfId="1418"/>
    <cellStyle name="style1727871639254" xfId="1419"/>
    <cellStyle name="style1727871639301" xfId="1427"/>
    <cellStyle name="style1727871639364" xfId="1422"/>
    <cellStyle name="style1727871639411" xfId="1423"/>
    <cellStyle name="style1727871639442" xfId="1428"/>
    <cellStyle name="style1727871639551" xfId="1425"/>
    <cellStyle name="style1727871639582" xfId="1426"/>
    <cellStyle name="style1727871639723" xfId="1429"/>
  </cellStyles>
  <dxfs count="0"/>
  <tableStyles count="0" defaultTableStyle="TableStyleMedium9" defaultPivotStyle="PivotStyleLight16"/>
  <colors>
    <mruColors>
      <color rgb="FFCADCF2"/>
      <color rgb="FFD4CAE0"/>
      <color rgb="FFD4A0D2"/>
      <color rgb="FF0067B1"/>
      <color rgb="FF00B0F0"/>
      <color rgb="FF72A2DC"/>
      <color rgb="FFAC4EA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4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5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755352648211292"/>
          <c:y val="3.8014453655836673E-2"/>
          <c:w val="0.85463362973475587"/>
          <c:h val="0.5868709658150348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А'!$D$5</c:f>
              <c:strCache>
                <c:ptCount val="1"/>
                <c:pt idx="0">
                  <c:v>Брига о детету као главна активност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'Граф А'!$E$4:$F$4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А'!$E$5:$F$5</c:f>
              <c:numCache>
                <c:formatCode>0.00</c:formatCode>
                <c:ptCount val="2"/>
                <c:pt idx="0">
                  <c:v>1.2289156933089551</c:v>
                </c:pt>
                <c:pt idx="1">
                  <c:v>3.1354560665980546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7F-4216-8589-453A3AC7B381}"/>
            </c:ext>
          </c:extLst>
        </c:ser>
        <c:ser>
          <c:idx val="1"/>
          <c:order val="1"/>
          <c:tx>
            <c:strRef>
              <c:f>'Граф А'!$D$6</c:f>
              <c:strCache>
                <c:ptCount val="1"/>
                <c:pt idx="0">
                  <c:v>Брига о детету као паралелна активност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'Граф А'!$E$4:$F$4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А'!$E$6:$F$6</c:f>
              <c:numCache>
                <c:formatCode>0.00</c:formatCode>
                <c:ptCount val="2"/>
                <c:pt idx="0">
                  <c:v>0.14323021435859981</c:v>
                </c:pt>
                <c:pt idx="1">
                  <c:v>0.20943818158296829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7F-4216-8589-453A3AC7B381}"/>
            </c:ext>
          </c:extLst>
        </c:ser>
        <c:ser>
          <c:idx val="2"/>
          <c:order val="2"/>
          <c:tx>
            <c:strRef>
              <c:f>'Граф А'!$D$7</c:f>
              <c:strCache>
                <c:ptCount val="1"/>
                <c:pt idx="0">
                  <c:v>Исхрана, дете присутно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'Граф А'!$E$4:$F$4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А'!$E$7:$F$7</c:f>
              <c:numCache>
                <c:formatCode>0.00</c:formatCode>
                <c:ptCount val="2"/>
                <c:pt idx="0">
                  <c:v>0.846858445507501</c:v>
                </c:pt>
                <c:pt idx="1">
                  <c:v>1.165878655719246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F7F-4216-8589-453A3AC7B381}"/>
            </c:ext>
          </c:extLst>
        </c:ser>
        <c:ser>
          <c:idx val="3"/>
          <c:order val="3"/>
          <c:tx>
            <c:strRef>
              <c:f>'Граф А'!$D$8</c:f>
              <c:strCache>
                <c:ptCount val="1"/>
                <c:pt idx="0">
                  <c:v>Слободно време, дете присутно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'Граф А'!$E$4:$F$4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А'!$E$8:$F$8</c:f>
              <c:numCache>
                <c:formatCode>0.00</c:formatCode>
                <c:ptCount val="2"/>
                <c:pt idx="0">
                  <c:v>1.8139929893714795</c:v>
                </c:pt>
                <c:pt idx="1">
                  <c:v>1.9028335572552282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F7F-4216-8589-453A3AC7B381}"/>
            </c:ext>
          </c:extLst>
        </c:ser>
        <c:ser>
          <c:idx val="4"/>
          <c:order val="4"/>
          <c:tx>
            <c:strRef>
              <c:f>'Граф А'!$D$9</c:f>
              <c:strCache>
                <c:ptCount val="1"/>
                <c:pt idx="0">
                  <c:v>Послови у кући, дете присутно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'Граф А'!$E$4:$F$4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А'!$E$9:$F$9</c:f>
              <c:numCache>
                <c:formatCode>0.00</c:formatCode>
                <c:ptCount val="2"/>
                <c:pt idx="0">
                  <c:v>0.3746389488566027</c:v>
                </c:pt>
                <c:pt idx="1">
                  <c:v>2.0323749801072872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F7F-4216-8589-453A3AC7B3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662496608"/>
        <c:axId val="662496968"/>
      </c:barChart>
      <c:catAx>
        <c:axId val="6624966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496968"/>
        <c:crosses val="autoZero"/>
        <c:auto val="1"/>
        <c:lblAlgn val="ctr"/>
        <c:lblOffset val="100"/>
        <c:noMultiLvlLbl val="0"/>
      </c:catAx>
      <c:valAx>
        <c:axId val="662496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2496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57479970600077"/>
          <c:y val="0.74655002303532059"/>
          <c:w val="0.75856737864903834"/>
          <c:h val="0.221646252551764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1'!$B$109:$B$156</c:f>
              <c:numCache>
                <c:formatCode>###0.0%</c:formatCode>
                <c:ptCount val="48"/>
                <c:pt idx="0">
                  <c:v>3.4384337758537192E-3</c:v>
                </c:pt>
                <c:pt idx="1">
                  <c:v>4.5870182601804119E-3</c:v>
                </c:pt>
                <c:pt idx="2">
                  <c:v>1.3202640211718065E-2</c:v>
                </c:pt>
                <c:pt idx="3">
                  <c:v>2.9766882595020711E-2</c:v>
                </c:pt>
                <c:pt idx="4">
                  <c:v>5.7599664949761792E-2</c:v>
                </c:pt>
                <c:pt idx="5">
                  <c:v>9.8295353910380107E-2</c:v>
                </c:pt>
                <c:pt idx="6">
                  <c:v>0.14634084470806435</c:v>
                </c:pt>
                <c:pt idx="7">
                  <c:v>0.17858954941135777</c:v>
                </c:pt>
                <c:pt idx="8">
                  <c:v>0.21964312871101313</c:v>
                </c:pt>
                <c:pt idx="9">
                  <c:v>0.23137438001708477</c:v>
                </c:pt>
                <c:pt idx="10">
                  <c:v>0.22921357675942958</c:v>
                </c:pt>
                <c:pt idx="11">
                  <c:v>0.24493230890478204</c:v>
                </c:pt>
                <c:pt idx="12">
                  <c:v>0.20132686002834774</c:v>
                </c:pt>
                <c:pt idx="13">
                  <c:v>0.24441040733047931</c:v>
                </c:pt>
                <c:pt idx="14">
                  <c:v>0.25565464847928687</c:v>
                </c:pt>
                <c:pt idx="15">
                  <c:v>0.27888386751570216</c:v>
                </c:pt>
                <c:pt idx="16">
                  <c:v>0.27910640181970164</c:v>
                </c:pt>
                <c:pt idx="17">
                  <c:v>0.30007581119901999</c:v>
                </c:pt>
                <c:pt idx="18">
                  <c:v>0.27167416455785881</c:v>
                </c:pt>
                <c:pt idx="19">
                  <c:v>0.27980545016014524</c:v>
                </c:pt>
                <c:pt idx="20">
                  <c:v>0.26852306716973828</c:v>
                </c:pt>
                <c:pt idx="21">
                  <c:v>0.25079341244310316</c:v>
                </c:pt>
                <c:pt idx="22">
                  <c:v>0.22758308329969726</c:v>
                </c:pt>
                <c:pt idx="23">
                  <c:v>0.18323620305329003</c:v>
                </c:pt>
                <c:pt idx="24">
                  <c:v>0.15415482382844112</c:v>
                </c:pt>
                <c:pt idx="25">
                  <c:v>0.12970449467652492</c:v>
                </c:pt>
                <c:pt idx="26">
                  <c:v>0.11663446026227801</c:v>
                </c:pt>
                <c:pt idx="27">
                  <c:v>0.10681189036092963</c:v>
                </c:pt>
                <c:pt idx="28">
                  <c:v>8.5249761388639558E-2</c:v>
                </c:pt>
                <c:pt idx="29">
                  <c:v>8.3793220404256546E-2</c:v>
                </c:pt>
                <c:pt idx="30">
                  <c:v>6.6867845479167479E-2</c:v>
                </c:pt>
                <c:pt idx="31">
                  <c:v>5.7792106077937874E-2</c:v>
                </c:pt>
                <c:pt idx="32">
                  <c:v>5.2660786353047849E-2</c:v>
                </c:pt>
                <c:pt idx="33">
                  <c:v>4.8605118852537682E-2</c:v>
                </c:pt>
                <c:pt idx="34">
                  <c:v>4.03465313037999E-2</c:v>
                </c:pt>
                <c:pt idx="35">
                  <c:v>4.3526645655389974E-2</c:v>
                </c:pt>
                <c:pt idx="36">
                  <c:v>3.6632390889266744E-2</c:v>
                </c:pt>
                <c:pt idx="37">
                  <c:v>2.4401724320699932E-2</c:v>
                </c:pt>
                <c:pt idx="38">
                  <c:v>2.1231473874823895E-2</c:v>
                </c:pt>
                <c:pt idx="39">
                  <c:v>1.5537475010732518E-2</c:v>
                </c:pt>
                <c:pt idx="40">
                  <c:v>8.4551571773402463E-3</c:v>
                </c:pt>
                <c:pt idx="41">
                  <c:v>6.1393596419967158E-3</c:v>
                </c:pt>
                <c:pt idx="42">
                  <c:v>2.3263683251973787E-3</c:v>
                </c:pt>
                <c:pt idx="43">
                  <c:v>2.3263683251973787E-3</c:v>
                </c:pt>
                <c:pt idx="44">
                  <c:v>1.7158817305221836E-3</c:v>
                </c:pt>
                <c:pt idx="45">
                  <c:v>1.1220421007024212E-3</c:v>
                </c:pt>
                <c:pt idx="46">
                  <c:v>1.1220421007024212E-3</c:v>
                </c:pt>
                <c:pt idx="47">
                  <c:v>1.1220421007024212E-3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D2-40CD-AC33-F148DC592B8B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1'!$C$109:$C$156</c:f>
              <c:numCache>
                <c:formatCode>###0.0%</c:formatCode>
                <c:ptCount val="48"/>
                <c:pt idx="0">
                  <c:v>2.3931011284241922E-3</c:v>
                </c:pt>
                <c:pt idx="1">
                  <c:v>2.3794727365944704E-3</c:v>
                </c:pt>
                <c:pt idx="2">
                  <c:v>8.1121196383274769E-3</c:v>
                </c:pt>
                <c:pt idx="3">
                  <c:v>1.2963055621011481E-2</c:v>
                </c:pt>
                <c:pt idx="4">
                  <c:v>2.7747954533685754E-2</c:v>
                </c:pt>
                <c:pt idx="5">
                  <c:v>4.6453043353457374E-2</c:v>
                </c:pt>
                <c:pt idx="6">
                  <c:v>0.10447074966078919</c:v>
                </c:pt>
                <c:pt idx="7">
                  <c:v>0.17489234988144203</c:v>
                </c:pt>
                <c:pt idx="8">
                  <c:v>0.2238921198858172</c:v>
                </c:pt>
                <c:pt idx="9">
                  <c:v>0.26873438697102453</c:v>
                </c:pt>
                <c:pt idx="10">
                  <c:v>0.2936868890034941</c:v>
                </c:pt>
                <c:pt idx="11">
                  <c:v>0.32662179182918405</c:v>
                </c:pt>
                <c:pt idx="12">
                  <c:v>0.3834307773724886</c:v>
                </c:pt>
                <c:pt idx="13">
                  <c:v>0.38976734594144685</c:v>
                </c:pt>
                <c:pt idx="14">
                  <c:v>0.38970877444598334</c:v>
                </c:pt>
                <c:pt idx="15">
                  <c:v>0.40002551559250421</c:v>
                </c:pt>
                <c:pt idx="16">
                  <c:v>0.37842884758420259</c:v>
                </c:pt>
                <c:pt idx="17">
                  <c:v>0.36986208889129185</c:v>
                </c:pt>
                <c:pt idx="18">
                  <c:v>0.34145719503246513</c:v>
                </c:pt>
                <c:pt idx="19">
                  <c:v>0.34092589205038093</c:v>
                </c:pt>
                <c:pt idx="20">
                  <c:v>0.30008372047313137</c:v>
                </c:pt>
                <c:pt idx="21">
                  <c:v>0.2896205873542877</c:v>
                </c:pt>
                <c:pt idx="22">
                  <c:v>0.24659184935663628</c:v>
                </c:pt>
                <c:pt idx="23">
                  <c:v>0.24294584897848298</c:v>
                </c:pt>
                <c:pt idx="24">
                  <c:v>0.25560733567170507</c:v>
                </c:pt>
                <c:pt idx="25">
                  <c:v>0.24113466199795941</c:v>
                </c:pt>
                <c:pt idx="26">
                  <c:v>0.26462370741741642</c:v>
                </c:pt>
                <c:pt idx="27">
                  <c:v>0.25081509901788968</c:v>
                </c:pt>
                <c:pt idx="28">
                  <c:v>0.27155218747237003</c:v>
                </c:pt>
                <c:pt idx="29">
                  <c:v>0.26315473216782509</c:v>
                </c:pt>
                <c:pt idx="30">
                  <c:v>0.23831444268196286</c:v>
                </c:pt>
                <c:pt idx="31">
                  <c:v>0.23265088186315752</c:v>
                </c:pt>
                <c:pt idx="32">
                  <c:v>0.19382031901385693</c:v>
                </c:pt>
                <c:pt idx="33">
                  <c:v>0.16870977906377305</c:v>
                </c:pt>
                <c:pt idx="34">
                  <c:v>0.12814309211505234</c:v>
                </c:pt>
                <c:pt idx="35">
                  <c:v>9.6408663008003159E-2</c:v>
                </c:pt>
                <c:pt idx="36">
                  <c:v>6.7194292518292315E-2</c:v>
                </c:pt>
                <c:pt idx="37">
                  <c:v>3.9578476579133957E-2</c:v>
                </c:pt>
                <c:pt idx="38">
                  <c:v>2.3677067070688677E-2</c:v>
                </c:pt>
                <c:pt idx="39">
                  <c:v>1.2609380034232984E-2</c:v>
                </c:pt>
                <c:pt idx="40">
                  <c:v>4.7196192292708857E-3</c:v>
                </c:pt>
                <c:pt idx="41">
                  <c:v>4.0428483686246785E-3</c:v>
                </c:pt>
                <c:pt idx="42">
                  <c:v>2.0120442988733785E-3</c:v>
                </c:pt>
                <c:pt idx="43">
                  <c:v>2.3094016751848269E-3</c:v>
                </c:pt>
                <c:pt idx="44">
                  <c:v>1.9764652367096612E-3</c:v>
                </c:pt>
                <c:pt idx="45">
                  <c:v>8.5076518912321976E-4</c:v>
                </c:pt>
                <c:pt idx="46">
                  <c:v>7.4925360122719982E-4</c:v>
                </c:pt>
                <c:pt idx="47">
                  <c:v>1.1633017542183638E-3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D2-40CD-AC33-F148DC592B8B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1'!$D$109:$D$156</c:f>
              <c:numCache>
                <c:formatCode>###0.0%</c:formatCode>
                <c:ptCount val="48"/>
                <c:pt idx="0">
                  <c:v>4.8286594166770959E-4</c:v>
                </c:pt>
                <c:pt idx="1">
                  <c:v>1.0162919871836977E-3</c:v>
                </c:pt>
                <c:pt idx="2">
                  <c:v>4.6252998120727903E-3</c:v>
                </c:pt>
                <c:pt idx="3">
                  <c:v>1.1192193503710384E-2</c:v>
                </c:pt>
                <c:pt idx="4">
                  <c:v>1.3382339194229216E-2</c:v>
                </c:pt>
                <c:pt idx="5">
                  <c:v>4.7715010835509108E-2</c:v>
                </c:pt>
                <c:pt idx="6">
                  <c:v>6.1251676651874407E-2</c:v>
                </c:pt>
                <c:pt idx="7">
                  <c:v>0.13810414309897043</c:v>
                </c:pt>
                <c:pt idx="8">
                  <c:v>0.14880070530927764</c:v>
                </c:pt>
                <c:pt idx="9">
                  <c:v>0.19071083019246765</c:v>
                </c:pt>
                <c:pt idx="10">
                  <c:v>0.21225032618109044</c:v>
                </c:pt>
                <c:pt idx="11">
                  <c:v>0.18519389283952725</c:v>
                </c:pt>
                <c:pt idx="12">
                  <c:v>0.18356975104059578</c:v>
                </c:pt>
                <c:pt idx="13">
                  <c:v>0.13918023768399523</c:v>
                </c:pt>
                <c:pt idx="14">
                  <c:v>9.9510812321577741E-2</c:v>
                </c:pt>
                <c:pt idx="15">
                  <c:v>6.7463916820474784E-2</c:v>
                </c:pt>
                <c:pt idx="16">
                  <c:v>8.8369282814700689E-2</c:v>
                </c:pt>
                <c:pt idx="17">
                  <c:v>7.2451565955222383E-2</c:v>
                </c:pt>
                <c:pt idx="18">
                  <c:v>0.1216397550559052</c:v>
                </c:pt>
                <c:pt idx="19">
                  <c:v>0.10210075258787774</c:v>
                </c:pt>
                <c:pt idx="20">
                  <c:v>0.16283088090275452</c:v>
                </c:pt>
                <c:pt idx="21">
                  <c:v>0.17192760982752714</c:v>
                </c:pt>
                <c:pt idx="22">
                  <c:v>0.18305991767233107</c:v>
                </c:pt>
                <c:pt idx="23">
                  <c:v>0.18762250953832443</c:v>
                </c:pt>
                <c:pt idx="24">
                  <c:v>0.13817060881814713</c:v>
                </c:pt>
                <c:pt idx="25">
                  <c:v>0.14205853046097483</c:v>
                </c:pt>
                <c:pt idx="26">
                  <c:v>0.14175757228573613</c:v>
                </c:pt>
                <c:pt idx="27">
                  <c:v>0.13143579707892189</c:v>
                </c:pt>
                <c:pt idx="28">
                  <c:v>0.12075905695946715</c:v>
                </c:pt>
                <c:pt idx="29">
                  <c:v>0.11913292336788148</c:v>
                </c:pt>
                <c:pt idx="30">
                  <c:v>0.1525288317438393</c:v>
                </c:pt>
                <c:pt idx="31">
                  <c:v>0.16088424733169571</c:v>
                </c:pt>
                <c:pt idx="32">
                  <c:v>0.17637609373069124</c:v>
                </c:pt>
                <c:pt idx="33">
                  <c:v>0.10526312285015876</c:v>
                </c:pt>
                <c:pt idx="34">
                  <c:v>6.3002475410823225E-2</c:v>
                </c:pt>
                <c:pt idx="35">
                  <c:v>3.2032648298942847E-2</c:v>
                </c:pt>
                <c:pt idx="36">
                  <c:v>1.2304156714876821E-2</c:v>
                </c:pt>
                <c:pt idx="37">
                  <c:v>1.2534345831037115E-2</c:v>
                </c:pt>
                <c:pt idx="38">
                  <c:v>5.0848412176717032E-3</c:v>
                </c:pt>
                <c:pt idx="39">
                  <c:v>3.8235929477470672E-3</c:v>
                </c:pt>
                <c:pt idx="40">
                  <c:v>7.5933938691049858E-4</c:v>
                </c:pt>
                <c:pt idx="41">
                  <c:v>7.4119337617003091E-4</c:v>
                </c:pt>
                <c:pt idx="42">
                  <c:v>2.7817521095920315E-4</c:v>
                </c:pt>
                <c:pt idx="43">
                  <c:v>1.5440015024014317E-4</c:v>
                </c:pt>
                <c:pt idx="44">
                  <c:v>1.5440015024014317E-4</c:v>
                </c:pt>
                <c:pt idx="45">
                  <c:v>1.5440015024014317E-4</c:v>
                </c:pt>
                <c:pt idx="46">
                  <c:v>1.6472269767132082E-4</c:v>
                </c:pt>
                <c:pt idx="47">
                  <c:v>1.6472269767132082E-4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7D2-40CD-AC33-F148DC592B8B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1'!$E$109:$E$156</c:f>
              <c:numCache>
                <c:formatCode>###0.0%</c:formatCode>
                <c:ptCount val="48"/>
                <c:pt idx="0">
                  <c:v>0.99121950752870314</c:v>
                </c:pt>
                <c:pt idx="1">
                  <c:v>0.99001740540783489</c:v>
                </c:pt>
                <c:pt idx="2">
                  <c:v>0.97115820018996113</c:v>
                </c:pt>
                <c:pt idx="3">
                  <c:v>0.93896851194345654</c:v>
                </c:pt>
                <c:pt idx="4">
                  <c:v>0.89154760456648896</c:v>
                </c:pt>
                <c:pt idx="5">
                  <c:v>0.79539329961008709</c:v>
                </c:pt>
                <c:pt idx="6">
                  <c:v>0.66576778016280724</c:v>
                </c:pt>
                <c:pt idx="7">
                  <c:v>0.47386738036988019</c:v>
                </c:pt>
                <c:pt idx="8">
                  <c:v>0.35678281572584053</c:v>
                </c:pt>
                <c:pt idx="9">
                  <c:v>0.23541006439530121</c:v>
                </c:pt>
                <c:pt idx="10">
                  <c:v>0.17602227910748838</c:v>
                </c:pt>
                <c:pt idx="11">
                  <c:v>0.12248353011971976</c:v>
                </c:pt>
                <c:pt idx="12">
                  <c:v>8.2176116157927248E-2</c:v>
                </c:pt>
                <c:pt idx="13">
                  <c:v>4.923304250603952E-2</c:v>
                </c:pt>
                <c:pt idx="14">
                  <c:v>4.0839409199824178E-2</c:v>
                </c:pt>
                <c:pt idx="15">
                  <c:v>3.0622810784597984E-2</c:v>
                </c:pt>
                <c:pt idx="16">
                  <c:v>2.8967317212585074E-2</c:v>
                </c:pt>
                <c:pt idx="17">
                  <c:v>2.86230538030521E-2</c:v>
                </c:pt>
                <c:pt idx="18">
                  <c:v>3.3973297539124384E-2</c:v>
                </c:pt>
                <c:pt idx="19">
                  <c:v>2.9157620522282626E-2</c:v>
                </c:pt>
                <c:pt idx="20">
                  <c:v>3.4392506805512535E-2</c:v>
                </c:pt>
                <c:pt idx="21">
                  <c:v>3.1151625644171389E-2</c:v>
                </c:pt>
                <c:pt idx="22">
                  <c:v>4.0005213576397025E-2</c:v>
                </c:pt>
                <c:pt idx="23">
                  <c:v>3.9999082206084537E-2</c:v>
                </c:pt>
                <c:pt idx="24">
                  <c:v>5.760159609468795E-2</c:v>
                </c:pt>
                <c:pt idx="25">
                  <c:v>5.778054072568236E-2</c:v>
                </c:pt>
                <c:pt idx="26">
                  <c:v>4.9792473587056858E-2</c:v>
                </c:pt>
                <c:pt idx="27">
                  <c:v>4.7259028610763899E-2</c:v>
                </c:pt>
                <c:pt idx="28">
                  <c:v>4.0587618304125848E-2</c:v>
                </c:pt>
                <c:pt idx="29">
                  <c:v>4.0969844778020154E-2</c:v>
                </c:pt>
                <c:pt idx="30">
                  <c:v>4.4206008899337498E-2</c:v>
                </c:pt>
                <c:pt idx="31">
                  <c:v>4.5582656988541546E-2</c:v>
                </c:pt>
                <c:pt idx="32">
                  <c:v>5.2707284541582536E-2</c:v>
                </c:pt>
                <c:pt idx="33">
                  <c:v>5.9946566371462368E-2</c:v>
                </c:pt>
                <c:pt idx="34">
                  <c:v>0.12388586105754543</c:v>
                </c:pt>
                <c:pt idx="35">
                  <c:v>0.15640551605544831</c:v>
                </c:pt>
                <c:pt idx="36">
                  <c:v>0.4101793851498865</c:v>
                </c:pt>
                <c:pt idx="37">
                  <c:v>0.50625136124715298</c:v>
                </c:pt>
                <c:pt idx="38">
                  <c:v>0.71777308475444068</c:v>
                </c:pt>
                <c:pt idx="39">
                  <c:v>0.80895666052485604</c:v>
                </c:pt>
                <c:pt idx="40">
                  <c:v>0.91725335462328705</c:v>
                </c:pt>
                <c:pt idx="41">
                  <c:v>0.9554557428976771</c:v>
                </c:pt>
                <c:pt idx="42">
                  <c:v>0.9812453101257339</c:v>
                </c:pt>
                <c:pt idx="43">
                  <c:v>0.98562302482300201</c:v>
                </c:pt>
                <c:pt idx="44">
                  <c:v>0.99174618632467348</c:v>
                </c:pt>
                <c:pt idx="45">
                  <c:v>0.99387247596434658</c:v>
                </c:pt>
                <c:pt idx="46">
                  <c:v>0.99579433659682592</c:v>
                </c:pt>
                <c:pt idx="47">
                  <c:v>0.9955257308846438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7D2-40CD-AC33-F148DC592B8B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1'!$F$109:$F$156</c:f>
              <c:numCache>
                <c:formatCode>###0.0%</c:formatCode>
                <c:ptCount val="48"/>
                <c:pt idx="0">
                  <c:v>1.5122242739734593E-3</c:v>
                </c:pt>
                <c:pt idx="1">
                  <c:v>1.7634200287003777E-3</c:v>
                </c:pt>
                <c:pt idx="2">
                  <c:v>2.9017401479212264E-3</c:v>
                </c:pt>
                <c:pt idx="3">
                  <c:v>5.9773138835157039E-3</c:v>
                </c:pt>
                <c:pt idx="4">
                  <c:v>5.1001999106781767E-3</c:v>
                </c:pt>
                <c:pt idx="5">
                  <c:v>8.414710059467076E-3</c:v>
                </c:pt>
                <c:pt idx="6">
                  <c:v>1.0135897084321005E-2</c:v>
                </c:pt>
                <c:pt idx="7">
                  <c:v>1.8415543821406834E-2</c:v>
                </c:pt>
                <c:pt idx="8">
                  <c:v>2.9166682053774654E-2</c:v>
                </c:pt>
                <c:pt idx="9">
                  <c:v>4.5348653112045272E-2</c:v>
                </c:pt>
                <c:pt idx="10">
                  <c:v>5.6611973833581637E-2</c:v>
                </c:pt>
                <c:pt idx="11">
                  <c:v>8.1319905037939913E-2</c:v>
                </c:pt>
                <c:pt idx="12">
                  <c:v>0.10729674822221112</c:v>
                </c:pt>
                <c:pt idx="13">
                  <c:v>0.12739554803873335</c:v>
                </c:pt>
                <c:pt idx="14">
                  <c:v>0.16079606160684015</c:v>
                </c:pt>
                <c:pt idx="15">
                  <c:v>0.16653794528738594</c:v>
                </c:pt>
                <c:pt idx="16">
                  <c:v>0.17275701698209603</c:v>
                </c:pt>
                <c:pt idx="17">
                  <c:v>0.17352391029327074</c:v>
                </c:pt>
                <c:pt idx="18">
                  <c:v>0.18425522517440862</c:v>
                </c:pt>
                <c:pt idx="19">
                  <c:v>0.19725661102223888</c:v>
                </c:pt>
                <c:pt idx="20">
                  <c:v>0.18954018478019197</c:v>
                </c:pt>
                <c:pt idx="21">
                  <c:v>0.20518255336669416</c:v>
                </c:pt>
                <c:pt idx="22">
                  <c:v>0.23873166115471139</c:v>
                </c:pt>
                <c:pt idx="23">
                  <c:v>0.2729282964277569</c:v>
                </c:pt>
                <c:pt idx="24">
                  <c:v>0.29503494813654058</c:v>
                </c:pt>
                <c:pt idx="25">
                  <c:v>0.32046953965996783</c:v>
                </c:pt>
                <c:pt idx="26">
                  <c:v>0.32204415015797561</c:v>
                </c:pt>
                <c:pt idx="27">
                  <c:v>0.33856509006900171</c:v>
                </c:pt>
                <c:pt idx="28">
                  <c:v>0.3375150217727193</c:v>
                </c:pt>
                <c:pt idx="29">
                  <c:v>0.33294699672928935</c:v>
                </c:pt>
                <c:pt idx="30">
                  <c:v>0.23201799642147608</c:v>
                </c:pt>
                <c:pt idx="31">
                  <c:v>0.21757556627214783</c:v>
                </c:pt>
                <c:pt idx="32">
                  <c:v>0.18109006726498772</c:v>
                </c:pt>
                <c:pt idx="33">
                  <c:v>0.18528158576893169</c:v>
                </c:pt>
                <c:pt idx="34">
                  <c:v>0.16948254390284062</c:v>
                </c:pt>
                <c:pt idx="35">
                  <c:v>0.15807285298516893</c:v>
                </c:pt>
                <c:pt idx="36">
                  <c:v>0.13925764488439207</c:v>
                </c:pt>
                <c:pt idx="37">
                  <c:v>0.12233125768777174</c:v>
                </c:pt>
                <c:pt idx="38">
                  <c:v>8.6148451402079634E-2</c:v>
                </c:pt>
                <c:pt idx="39">
                  <c:v>6.644115279652997E-2</c:v>
                </c:pt>
                <c:pt idx="40">
                  <c:v>3.6183506092327795E-2</c:v>
                </c:pt>
                <c:pt idx="41">
                  <c:v>1.5449787498562642E-2</c:v>
                </c:pt>
                <c:pt idx="42">
                  <c:v>7.584240064369769E-3</c:v>
                </c:pt>
                <c:pt idx="43">
                  <c:v>4.1464745037521943E-3</c:v>
                </c:pt>
                <c:pt idx="44">
                  <c:v>3.3166797261248385E-3</c:v>
                </c:pt>
                <c:pt idx="45">
                  <c:v>2.5584942020526443E-3</c:v>
                </c:pt>
                <c:pt idx="46">
                  <c:v>1.696072313229918E-3</c:v>
                </c:pt>
                <c:pt idx="47">
                  <c:v>1.7930339404359868E-3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7D2-40CD-AC33-F148DC592B8B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1'!$G$109:$G$156</c:f>
              <c:numCache>
                <c:formatCode>###0.0%</c:formatCode>
                <c:ptCount val="48"/>
                <c:pt idx="0">
                  <c:v>9.5386735137751981E-4</c:v>
                </c:pt>
                <c:pt idx="1">
                  <c:v>2.3639157950653881E-4</c:v>
                </c:pt>
                <c:pt idx="2">
                  <c:v>0</c:v>
                </c:pt>
                <c:pt idx="3">
                  <c:v>6.7650270910164702E-4</c:v>
                </c:pt>
                <c:pt idx="4">
                  <c:v>3.9588809908133833E-3</c:v>
                </c:pt>
                <c:pt idx="5">
                  <c:v>3.0633551112175857E-3</c:v>
                </c:pt>
                <c:pt idx="6">
                  <c:v>9.6788950473278221E-3</c:v>
                </c:pt>
                <c:pt idx="7">
                  <c:v>1.4266193954145124E-2</c:v>
                </c:pt>
                <c:pt idx="8">
                  <c:v>1.5888612791322723E-2</c:v>
                </c:pt>
                <c:pt idx="9">
                  <c:v>2.4646268690704867E-2</c:v>
                </c:pt>
                <c:pt idx="10">
                  <c:v>2.6105088072559991E-2</c:v>
                </c:pt>
                <c:pt idx="11">
                  <c:v>3.4149262959885726E-2</c:v>
                </c:pt>
                <c:pt idx="12">
                  <c:v>3.5760788063867309E-2</c:v>
                </c:pt>
                <c:pt idx="13">
                  <c:v>4.6059114215640615E-2</c:v>
                </c:pt>
                <c:pt idx="14">
                  <c:v>4.718038058597003E-2</c:v>
                </c:pt>
                <c:pt idx="15">
                  <c:v>5.0218474425168705E-2</c:v>
                </c:pt>
                <c:pt idx="16">
                  <c:v>4.7329880175399082E-2</c:v>
                </c:pt>
                <c:pt idx="17">
                  <c:v>5.2178123994322763E-2</c:v>
                </c:pt>
                <c:pt idx="18">
                  <c:v>4.3416545378280859E-2</c:v>
                </c:pt>
                <c:pt idx="19">
                  <c:v>4.7145399156564939E-2</c:v>
                </c:pt>
                <c:pt idx="20">
                  <c:v>4.0733582359752087E-2</c:v>
                </c:pt>
                <c:pt idx="21">
                  <c:v>4.6283861450240008E-2</c:v>
                </c:pt>
                <c:pt idx="22">
                  <c:v>6.2154258059025566E-2</c:v>
                </c:pt>
                <c:pt idx="23">
                  <c:v>7.2177048512033951E-2</c:v>
                </c:pt>
                <c:pt idx="24">
                  <c:v>9.7004771076678487E-2</c:v>
                </c:pt>
                <c:pt idx="25">
                  <c:v>0.10586345176715346</c:v>
                </c:pt>
                <c:pt idx="26">
                  <c:v>0.10217549031866953</c:v>
                </c:pt>
                <c:pt idx="27">
                  <c:v>0.12250835945163421</c:v>
                </c:pt>
                <c:pt idx="28">
                  <c:v>0.14104464441224776</c:v>
                </c:pt>
                <c:pt idx="29">
                  <c:v>0.15681065384171478</c:v>
                </c:pt>
                <c:pt idx="30">
                  <c:v>0.26319084059431413</c:v>
                </c:pt>
                <c:pt idx="31">
                  <c:v>0.28337765740099768</c:v>
                </c:pt>
                <c:pt idx="32">
                  <c:v>0.34056954906223674</c:v>
                </c:pt>
                <c:pt idx="33">
                  <c:v>0.42809843264612274</c:v>
                </c:pt>
                <c:pt idx="34">
                  <c:v>0.47299345229087764</c:v>
                </c:pt>
                <c:pt idx="35">
                  <c:v>0.51013836193869344</c:v>
                </c:pt>
                <c:pt idx="36">
                  <c:v>0.33118436403710755</c:v>
                </c:pt>
                <c:pt idx="37">
                  <c:v>0.29166346502245144</c:v>
                </c:pt>
                <c:pt idx="38">
                  <c:v>0.14573298518414843</c:v>
                </c:pt>
                <c:pt idx="39">
                  <c:v>9.1494058844910076E-2</c:v>
                </c:pt>
                <c:pt idx="40">
                  <c:v>3.1091675219340004E-2</c:v>
                </c:pt>
                <c:pt idx="41">
                  <c:v>1.6871816223243782E-2</c:v>
                </c:pt>
                <c:pt idx="42">
                  <c:v>6.5538619748671725E-3</c:v>
                </c:pt>
                <c:pt idx="43">
                  <c:v>5.4403305226243294E-3</c:v>
                </c:pt>
                <c:pt idx="44">
                  <c:v>1.0903868317302286E-3</c:v>
                </c:pt>
                <c:pt idx="45">
                  <c:v>8.4798276371505739E-4</c:v>
                </c:pt>
                <c:pt idx="46">
                  <c:v>4.7357269034331416E-4</c:v>
                </c:pt>
                <c:pt idx="47">
                  <c:v>2.3116862232814298E-4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7D2-40CD-AC33-F148DC592B8B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1'!$A$109:$A$156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1'!$H$109:$H$156</c:f>
              <c:numCache>
                <c:formatCode>###0.0%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4.5553974418352234E-4</c:v>
                </c:pt>
                <c:pt idx="4">
                  <c:v>6.6335585434396604E-4</c:v>
                </c:pt>
                <c:pt idx="5">
                  <c:v>6.652271198839449E-4</c:v>
                </c:pt>
                <c:pt idx="6">
                  <c:v>2.3541566848168821E-3</c:v>
                </c:pt>
                <c:pt idx="7">
                  <c:v>1.8648394628000117E-3</c:v>
                </c:pt>
                <c:pt idx="8">
                  <c:v>5.8259355229597666E-3</c:v>
                </c:pt>
                <c:pt idx="9">
                  <c:v>3.775416621377984E-3</c:v>
                </c:pt>
                <c:pt idx="10">
                  <c:v>6.1098670423613451E-3</c:v>
                </c:pt>
                <c:pt idx="11">
                  <c:v>5.2993083089668928E-3</c:v>
                </c:pt>
                <c:pt idx="12">
                  <c:v>6.4389591145673731E-3</c:v>
                </c:pt>
                <c:pt idx="13">
                  <c:v>3.954304283669747E-3</c:v>
                </c:pt>
                <c:pt idx="14">
                  <c:v>6.3099133605224612E-3</c:v>
                </c:pt>
                <c:pt idx="15">
                  <c:v>6.2474695741711909E-3</c:v>
                </c:pt>
                <c:pt idx="16">
                  <c:v>5.0412534113201428E-3</c:v>
                </c:pt>
                <c:pt idx="17">
                  <c:v>3.2854458638252697E-3</c:v>
                </c:pt>
                <c:pt idx="18">
                  <c:v>3.5838172619626742E-3</c:v>
                </c:pt>
                <c:pt idx="19">
                  <c:v>3.6082745005154094E-3</c:v>
                </c:pt>
                <c:pt idx="20">
                  <c:v>3.896057508924672E-3</c:v>
                </c:pt>
                <c:pt idx="21">
                  <c:v>5.0403499139815436E-3</c:v>
                </c:pt>
                <c:pt idx="22">
                  <c:v>1.8740168812073719E-3</c:v>
                </c:pt>
                <c:pt idx="23">
                  <c:v>1.0910112840329803E-3</c:v>
                </c:pt>
                <c:pt idx="24">
                  <c:v>2.4259163738056476E-3</c:v>
                </c:pt>
                <c:pt idx="25">
                  <c:v>2.9887807117429162E-3</c:v>
                </c:pt>
                <c:pt idx="26">
                  <c:v>2.9721459708734708E-3</c:v>
                </c:pt>
                <c:pt idx="27">
                  <c:v>2.6047354108644331E-3</c:v>
                </c:pt>
                <c:pt idx="28">
                  <c:v>3.2917096904362718E-3</c:v>
                </c:pt>
                <c:pt idx="29">
                  <c:v>3.1916287110181755E-3</c:v>
                </c:pt>
                <c:pt idx="30">
                  <c:v>2.8740341799084889E-3</c:v>
                </c:pt>
                <c:pt idx="31">
                  <c:v>2.1368840655278782E-3</c:v>
                </c:pt>
                <c:pt idx="32">
                  <c:v>2.7759000336023115E-3</c:v>
                </c:pt>
                <c:pt idx="33">
                  <c:v>4.0953944470186344E-3</c:v>
                </c:pt>
                <c:pt idx="34">
                  <c:v>2.146043919064681E-3</c:v>
                </c:pt>
                <c:pt idx="35">
                  <c:v>3.4153120583561569E-3</c:v>
                </c:pt>
                <c:pt idx="36">
                  <c:v>3.2477658061829343E-3</c:v>
                </c:pt>
                <c:pt idx="37">
                  <c:v>3.2393693117580796E-3</c:v>
                </c:pt>
                <c:pt idx="38">
                  <c:v>3.5209649615038302E-4</c:v>
                </c:pt>
                <c:pt idx="39">
                  <c:v>1.137679840994257E-3</c:v>
                </c:pt>
                <c:pt idx="40">
                  <c:v>1.5373482715239778E-3</c:v>
                </c:pt>
                <c:pt idx="41">
                  <c:v>1.2992519937255692E-3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5.9383962981976229E-4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D2-40CD-AC33-F148DC592B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55552"/>
        <c:axId val="1099053920"/>
      </c:areaChart>
      <c:catAx>
        <c:axId val="10990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3920"/>
        <c:crosses val="autoZero"/>
        <c:auto val="1"/>
        <c:lblAlgn val="ctr"/>
        <c:lblOffset val="100"/>
        <c:noMultiLvlLbl val="0"/>
      </c:catAx>
      <c:valAx>
        <c:axId val="1099053920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555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1'!$B$213:$B$260</c:f>
              <c:numCache>
                <c:formatCode>###0.0%</c:formatCode>
                <c:ptCount val="48"/>
                <c:pt idx="0">
                  <c:v>1.6114354663154199E-2</c:v>
                </c:pt>
                <c:pt idx="1">
                  <c:v>2.0570579682880827E-2</c:v>
                </c:pt>
                <c:pt idx="2">
                  <c:v>3.0659903450161296E-2</c:v>
                </c:pt>
                <c:pt idx="3">
                  <c:v>6.4520291768647223E-2</c:v>
                </c:pt>
                <c:pt idx="4">
                  <c:v>0.10821937898956867</c:v>
                </c:pt>
                <c:pt idx="5">
                  <c:v>0.18805627260946176</c:v>
                </c:pt>
                <c:pt idx="6">
                  <c:v>0.2800338414019598</c:v>
                </c:pt>
                <c:pt idx="7">
                  <c:v>0.35833279834619786</c:v>
                </c:pt>
                <c:pt idx="8">
                  <c:v>0.42226630994793912</c:v>
                </c:pt>
                <c:pt idx="9">
                  <c:v>0.45468802365698885</c:v>
                </c:pt>
                <c:pt idx="10">
                  <c:v>0.43718323130229003</c:v>
                </c:pt>
                <c:pt idx="11">
                  <c:v>0.46916959954860471</c:v>
                </c:pt>
                <c:pt idx="12">
                  <c:v>0.39441154976671522</c:v>
                </c:pt>
                <c:pt idx="13">
                  <c:v>0.48170210713604528</c:v>
                </c:pt>
                <c:pt idx="14">
                  <c:v>0.48912574856568214</c:v>
                </c:pt>
                <c:pt idx="15">
                  <c:v>0.52137747088045316</c:v>
                </c:pt>
                <c:pt idx="16">
                  <c:v>0.50979054519107514</c:v>
                </c:pt>
                <c:pt idx="17">
                  <c:v>0.52637497211192541</c:v>
                </c:pt>
                <c:pt idx="18">
                  <c:v>0.48143829803348248</c:v>
                </c:pt>
                <c:pt idx="19">
                  <c:v>0.50658967373900754</c:v>
                </c:pt>
                <c:pt idx="20">
                  <c:v>0.48251827226677685</c:v>
                </c:pt>
                <c:pt idx="21">
                  <c:v>0.46466860590457626</c:v>
                </c:pt>
                <c:pt idx="22">
                  <c:v>0.42840226664237241</c:v>
                </c:pt>
                <c:pt idx="23">
                  <c:v>0.34200719693256898</c:v>
                </c:pt>
                <c:pt idx="24">
                  <c:v>0.30202677462901872</c:v>
                </c:pt>
                <c:pt idx="25">
                  <c:v>0.25407776701934098</c:v>
                </c:pt>
                <c:pt idx="26">
                  <c:v>0.21508791329227098</c:v>
                </c:pt>
                <c:pt idx="27">
                  <c:v>0.18960008064481415</c:v>
                </c:pt>
                <c:pt idx="28">
                  <c:v>0.15387723921728946</c:v>
                </c:pt>
                <c:pt idx="29">
                  <c:v>0.14281383090052741</c:v>
                </c:pt>
                <c:pt idx="30">
                  <c:v>0.10074177693391237</c:v>
                </c:pt>
                <c:pt idx="31">
                  <c:v>9.1540934716929728E-2</c:v>
                </c:pt>
                <c:pt idx="32">
                  <c:v>7.3819857646004253E-2</c:v>
                </c:pt>
                <c:pt idx="33">
                  <c:v>6.3303907028808393E-2</c:v>
                </c:pt>
                <c:pt idx="34">
                  <c:v>5.6484279164338028E-2</c:v>
                </c:pt>
                <c:pt idx="35">
                  <c:v>5.3455381546174047E-2</c:v>
                </c:pt>
                <c:pt idx="36">
                  <c:v>4.7414223411766848E-2</c:v>
                </c:pt>
                <c:pt idx="37">
                  <c:v>3.1107180355332918E-2</c:v>
                </c:pt>
                <c:pt idx="38">
                  <c:v>2.1656028478841283E-2</c:v>
                </c:pt>
                <c:pt idx="39">
                  <c:v>1.8455690804384813E-2</c:v>
                </c:pt>
                <c:pt idx="40">
                  <c:v>1.7227120851958787E-2</c:v>
                </c:pt>
                <c:pt idx="41">
                  <c:v>1.5724492333416825E-2</c:v>
                </c:pt>
                <c:pt idx="42">
                  <c:v>1.1857448831971868E-2</c:v>
                </c:pt>
                <c:pt idx="43">
                  <c:v>1.1436309652393766E-2</c:v>
                </c:pt>
                <c:pt idx="44">
                  <c:v>1.1110381866055079E-2</c:v>
                </c:pt>
                <c:pt idx="45">
                  <c:v>9.7136207321728493E-3</c:v>
                </c:pt>
                <c:pt idx="46">
                  <c:v>9.3958881961414761E-3</c:v>
                </c:pt>
                <c:pt idx="47">
                  <c:v>1.0605564864296889E-2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9-4B06-B189-1C4F574F9AFA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1'!$C$213:$C$260</c:f>
              <c:numCache>
                <c:formatCode>###0.0%</c:formatCode>
                <c:ptCount val="48"/>
                <c:pt idx="0">
                  <c:v>2.2850381509330464E-4</c:v>
                </c:pt>
                <c:pt idx="1">
                  <c:v>1.1038053366323167E-3</c:v>
                </c:pt>
                <c:pt idx="2">
                  <c:v>6.2984571731623529E-3</c:v>
                </c:pt>
                <c:pt idx="3">
                  <c:v>1.2264822377756923E-2</c:v>
                </c:pt>
                <c:pt idx="4">
                  <c:v>1.8971955530105333E-2</c:v>
                </c:pt>
                <c:pt idx="5">
                  <c:v>3.7380694894986695E-2</c:v>
                </c:pt>
                <c:pt idx="6">
                  <c:v>6.0423786576994848E-2</c:v>
                </c:pt>
                <c:pt idx="7">
                  <c:v>8.982164520958151E-2</c:v>
                </c:pt>
                <c:pt idx="8">
                  <c:v>0.12104751774226251</c:v>
                </c:pt>
                <c:pt idx="9">
                  <c:v>0.14494087412456957</c:v>
                </c:pt>
                <c:pt idx="10">
                  <c:v>0.15716258616849102</c:v>
                </c:pt>
                <c:pt idx="11">
                  <c:v>0.15249476463668954</c:v>
                </c:pt>
                <c:pt idx="12">
                  <c:v>0.18336657856260935</c:v>
                </c:pt>
                <c:pt idx="13">
                  <c:v>0.17822513339500443</c:v>
                </c:pt>
                <c:pt idx="14">
                  <c:v>0.16735423518385337</c:v>
                </c:pt>
                <c:pt idx="15">
                  <c:v>0.16034058509883167</c:v>
                </c:pt>
                <c:pt idx="16">
                  <c:v>0.14143634924180731</c:v>
                </c:pt>
                <c:pt idx="17">
                  <c:v>0.13945721243349116</c:v>
                </c:pt>
                <c:pt idx="18">
                  <c:v>0.11462816898506201</c:v>
                </c:pt>
                <c:pt idx="19">
                  <c:v>0.11887188731040686</c:v>
                </c:pt>
                <c:pt idx="20">
                  <c:v>0.10127031924859255</c:v>
                </c:pt>
                <c:pt idx="21">
                  <c:v>0.10909725555334832</c:v>
                </c:pt>
                <c:pt idx="22">
                  <c:v>0.10287241936190566</c:v>
                </c:pt>
                <c:pt idx="23">
                  <c:v>0.12362843812389274</c:v>
                </c:pt>
                <c:pt idx="24">
                  <c:v>0.14728560665399912</c:v>
                </c:pt>
                <c:pt idx="25">
                  <c:v>0.15331270766450689</c:v>
                </c:pt>
                <c:pt idx="26">
                  <c:v>0.1475851914194623</c:v>
                </c:pt>
                <c:pt idx="27">
                  <c:v>0.149575049293035</c:v>
                </c:pt>
                <c:pt idx="28">
                  <c:v>0.18211589783256954</c:v>
                </c:pt>
                <c:pt idx="29">
                  <c:v>0.16822883735641356</c:v>
                </c:pt>
                <c:pt idx="30">
                  <c:v>0.13791750040624015</c:v>
                </c:pt>
                <c:pt idx="31">
                  <c:v>0.11224219142336983</c:v>
                </c:pt>
                <c:pt idx="32">
                  <c:v>7.1569483099732725E-2</c:v>
                </c:pt>
                <c:pt idx="33">
                  <c:v>6.2816665969414098E-2</c:v>
                </c:pt>
                <c:pt idx="34">
                  <c:v>4.167938839152343E-2</c:v>
                </c:pt>
                <c:pt idx="35">
                  <c:v>2.913789532558049E-2</c:v>
                </c:pt>
                <c:pt idx="36">
                  <c:v>2.259809411521576E-2</c:v>
                </c:pt>
                <c:pt idx="37">
                  <c:v>1.6545857960732484E-2</c:v>
                </c:pt>
                <c:pt idx="38">
                  <c:v>8.3912748824740598E-3</c:v>
                </c:pt>
                <c:pt idx="39">
                  <c:v>2.9277860388374904E-3</c:v>
                </c:pt>
                <c:pt idx="40">
                  <c:v>8.9383150717048864E-4</c:v>
                </c:pt>
                <c:pt idx="41">
                  <c:v>5.3803880885094631E-4</c:v>
                </c:pt>
                <c:pt idx="42">
                  <c:v>7.4706696591678721E-4</c:v>
                </c:pt>
                <c:pt idx="43">
                  <c:v>0</c:v>
                </c:pt>
                <c:pt idx="44">
                  <c:v>5.7545988607249441E-4</c:v>
                </c:pt>
                <c:pt idx="45">
                  <c:v>5.7545988607249441E-4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9-4B06-B189-1C4F574F9AFA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1'!$D$213:$D$260</c:f>
              <c:numCache>
                <c:formatCode>###0.0%</c:formatCode>
                <c:ptCount val="48"/>
                <c:pt idx="0">
                  <c:v>7.7687903776984559E-4</c:v>
                </c:pt>
                <c:pt idx="1">
                  <c:v>1.7511266835019631E-3</c:v>
                </c:pt>
                <c:pt idx="2">
                  <c:v>5.2283110182452909E-3</c:v>
                </c:pt>
                <c:pt idx="3">
                  <c:v>1.6238214799935421E-2</c:v>
                </c:pt>
                <c:pt idx="4">
                  <c:v>2.213566701933227E-2</c:v>
                </c:pt>
                <c:pt idx="5">
                  <c:v>5.7786176833925638E-2</c:v>
                </c:pt>
                <c:pt idx="6">
                  <c:v>6.9063960553978357E-2</c:v>
                </c:pt>
                <c:pt idx="7">
                  <c:v>0.12712951307578399</c:v>
                </c:pt>
                <c:pt idx="8">
                  <c:v>0.13046611706781869</c:v>
                </c:pt>
                <c:pt idx="9">
                  <c:v>0.14865240922307549</c:v>
                </c:pt>
                <c:pt idx="10">
                  <c:v>0.16574964625848165</c:v>
                </c:pt>
                <c:pt idx="11">
                  <c:v>0.1480880545128154</c:v>
                </c:pt>
                <c:pt idx="12">
                  <c:v>0.19465216039998542</c:v>
                </c:pt>
                <c:pt idx="13">
                  <c:v>0.10365556222127047</c:v>
                </c:pt>
                <c:pt idx="14">
                  <c:v>9.4141701938071809E-2</c:v>
                </c:pt>
                <c:pt idx="15">
                  <c:v>6.727679453264597E-2</c:v>
                </c:pt>
                <c:pt idx="16">
                  <c:v>8.5435761975284269E-2</c:v>
                </c:pt>
                <c:pt idx="17">
                  <c:v>5.6063823235717673E-2</c:v>
                </c:pt>
                <c:pt idx="18">
                  <c:v>0.14066121893513606</c:v>
                </c:pt>
                <c:pt idx="19">
                  <c:v>9.6883624173763144E-2</c:v>
                </c:pt>
                <c:pt idx="20">
                  <c:v>0.1417089288470714</c:v>
                </c:pt>
                <c:pt idx="21">
                  <c:v>0.12935343825910298</c:v>
                </c:pt>
                <c:pt idx="22">
                  <c:v>0.15562315204180394</c:v>
                </c:pt>
                <c:pt idx="23">
                  <c:v>0.16126950374008117</c:v>
                </c:pt>
                <c:pt idx="24">
                  <c:v>0.15096573086179788</c:v>
                </c:pt>
                <c:pt idx="25">
                  <c:v>0.15807710153454207</c:v>
                </c:pt>
                <c:pt idx="26">
                  <c:v>0.1535901408426123</c:v>
                </c:pt>
                <c:pt idx="27">
                  <c:v>0.12585425935684466</c:v>
                </c:pt>
                <c:pt idx="28">
                  <c:v>0.1332333980133365</c:v>
                </c:pt>
                <c:pt idx="29">
                  <c:v>0.12576493951005008</c:v>
                </c:pt>
                <c:pt idx="30">
                  <c:v>0.15347773252418118</c:v>
                </c:pt>
                <c:pt idx="31">
                  <c:v>0.14159206589977688</c:v>
                </c:pt>
                <c:pt idx="32">
                  <c:v>0.18299423976853743</c:v>
                </c:pt>
                <c:pt idx="33">
                  <c:v>0.123084634609503</c:v>
                </c:pt>
                <c:pt idx="34">
                  <c:v>7.5940935944332016E-2</c:v>
                </c:pt>
                <c:pt idx="35">
                  <c:v>4.6880135315669487E-2</c:v>
                </c:pt>
                <c:pt idx="36">
                  <c:v>3.4590938310532705E-2</c:v>
                </c:pt>
                <c:pt idx="37">
                  <c:v>2.1609671573131883E-2</c:v>
                </c:pt>
                <c:pt idx="38">
                  <c:v>1.7397829000825704E-2</c:v>
                </c:pt>
                <c:pt idx="39">
                  <c:v>6.4366632022762153E-3</c:v>
                </c:pt>
                <c:pt idx="40">
                  <c:v>9.7816306238045756E-4</c:v>
                </c:pt>
                <c:pt idx="41">
                  <c:v>7.0637164803479175E-4</c:v>
                </c:pt>
                <c:pt idx="42">
                  <c:v>9.1266612303702731E-4</c:v>
                </c:pt>
                <c:pt idx="43">
                  <c:v>0</c:v>
                </c:pt>
                <c:pt idx="44">
                  <c:v>3.2592778633868595E-4</c:v>
                </c:pt>
                <c:pt idx="45">
                  <c:v>1.2182361577489759E-3</c:v>
                </c:pt>
                <c:pt idx="46">
                  <c:v>5.7545988607249441E-4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9-4B06-B189-1C4F574F9AFA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1'!$E$213:$E$260</c:f>
              <c:numCache>
                <c:formatCode>###0.0%</c:formatCode>
                <c:ptCount val="48"/>
                <c:pt idx="0">
                  <c:v>0.97919058519913638</c:v>
                </c:pt>
                <c:pt idx="1">
                  <c:v>0.97495851757535457</c:v>
                </c:pt>
                <c:pt idx="2">
                  <c:v>0.95578064939924612</c:v>
                </c:pt>
                <c:pt idx="3">
                  <c:v>0.90174806356113146</c:v>
                </c:pt>
                <c:pt idx="4">
                  <c:v>0.83994799921323771</c:v>
                </c:pt>
                <c:pt idx="5">
                  <c:v>0.70338278833100398</c:v>
                </c:pt>
                <c:pt idx="6">
                  <c:v>0.56240581186170346</c:v>
                </c:pt>
                <c:pt idx="7">
                  <c:v>0.37574835747023916</c:v>
                </c:pt>
                <c:pt idx="8">
                  <c:v>0.2616010146366855</c:v>
                </c:pt>
                <c:pt idx="9">
                  <c:v>0.17549896909007784</c:v>
                </c:pt>
                <c:pt idx="10">
                  <c:v>0.14450942815124204</c:v>
                </c:pt>
                <c:pt idx="11">
                  <c:v>9.8477359593916167E-2</c:v>
                </c:pt>
                <c:pt idx="12">
                  <c:v>8.0168465035693359E-2</c:v>
                </c:pt>
                <c:pt idx="13">
                  <c:v>5.3670554385587224E-2</c:v>
                </c:pt>
                <c:pt idx="14">
                  <c:v>3.9329249385419679E-2</c:v>
                </c:pt>
                <c:pt idx="15">
                  <c:v>2.9767982883635757E-2</c:v>
                </c:pt>
                <c:pt idx="16">
                  <c:v>2.6832886004795487E-2</c:v>
                </c:pt>
                <c:pt idx="17">
                  <c:v>2.4290770723144065E-2</c:v>
                </c:pt>
                <c:pt idx="18">
                  <c:v>4.5309214184161083E-2</c:v>
                </c:pt>
                <c:pt idx="19">
                  <c:v>3.7360873040478242E-2</c:v>
                </c:pt>
                <c:pt idx="20">
                  <c:v>3.9260089527297849E-2</c:v>
                </c:pt>
                <c:pt idx="21">
                  <c:v>4.8397743842562277E-2</c:v>
                </c:pt>
                <c:pt idx="22">
                  <c:v>5.5701747337909183E-2</c:v>
                </c:pt>
                <c:pt idx="23">
                  <c:v>7.0191941400831237E-2</c:v>
                </c:pt>
                <c:pt idx="24">
                  <c:v>6.7537356337707272E-2</c:v>
                </c:pt>
                <c:pt idx="25">
                  <c:v>7.909429834342406E-2</c:v>
                </c:pt>
                <c:pt idx="26">
                  <c:v>7.4651756879853856E-2</c:v>
                </c:pt>
                <c:pt idx="27">
                  <c:v>6.8348851193293814E-2</c:v>
                </c:pt>
                <c:pt idx="28">
                  <c:v>4.6992553350186886E-2</c:v>
                </c:pt>
                <c:pt idx="29">
                  <c:v>5.1831132333641852E-2</c:v>
                </c:pt>
                <c:pt idx="30">
                  <c:v>5.5810168204074945E-2</c:v>
                </c:pt>
                <c:pt idx="31">
                  <c:v>4.9583353641482454E-2</c:v>
                </c:pt>
                <c:pt idx="32">
                  <c:v>4.7390305971055306E-2</c:v>
                </c:pt>
                <c:pt idx="33">
                  <c:v>5.1122930814911045E-2</c:v>
                </c:pt>
                <c:pt idx="34">
                  <c:v>0.11394930770356002</c:v>
                </c:pt>
                <c:pt idx="35">
                  <c:v>0.14507499158876896</c:v>
                </c:pt>
                <c:pt idx="36">
                  <c:v>0.38734870153290785</c:v>
                </c:pt>
                <c:pt idx="37">
                  <c:v>0.48137994121512023</c:v>
                </c:pt>
                <c:pt idx="38">
                  <c:v>0.68307728477361873</c:v>
                </c:pt>
                <c:pt idx="39">
                  <c:v>0.77598901210739901</c:v>
                </c:pt>
                <c:pt idx="40">
                  <c:v>0.89120170453817371</c:v>
                </c:pt>
                <c:pt idx="41">
                  <c:v>0.9222591923588126</c:v>
                </c:pt>
                <c:pt idx="42">
                  <c:v>0.96415968138134123</c:v>
                </c:pt>
                <c:pt idx="43">
                  <c:v>0.96901390349710315</c:v>
                </c:pt>
                <c:pt idx="44">
                  <c:v>0.97958966562067418</c:v>
                </c:pt>
                <c:pt idx="45">
                  <c:v>0.98206306686623113</c:v>
                </c:pt>
                <c:pt idx="46">
                  <c:v>0.98566701335157036</c:v>
                </c:pt>
                <c:pt idx="47">
                  <c:v>0.98587058886554035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9-4B06-B189-1C4F574F9AFA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1'!$F$213:$F$260</c:f>
              <c:numCache>
                <c:formatCode>###0.0%</c:formatCode>
                <c:ptCount val="48"/>
                <c:pt idx="0">
                  <c:v>2.464988163837598E-3</c:v>
                </c:pt>
                <c:pt idx="1">
                  <c:v>3.9128160062128643E-4</c:v>
                </c:pt>
                <c:pt idx="2">
                  <c:v>1.2782388701043379E-3</c:v>
                </c:pt>
                <c:pt idx="3">
                  <c:v>3.9187809263121843E-3</c:v>
                </c:pt>
                <c:pt idx="4">
                  <c:v>6.1605151633424239E-3</c:v>
                </c:pt>
                <c:pt idx="5">
                  <c:v>5.5794756666340496E-3</c:v>
                </c:pt>
                <c:pt idx="6">
                  <c:v>1.2357863739074691E-2</c:v>
                </c:pt>
                <c:pt idx="7">
                  <c:v>2.9902223345397785E-2</c:v>
                </c:pt>
                <c:pt idx="8">
                  <c:v>3.6608695139133778E-2</c:v>
                </c:pt>
                <c:pt idx="9">
                  <c:v>4.6277906003036599E-2</c:v>
                </c:pt>
                <c:pt idx="10">
                  <c:v>5.3077154927461345E-2</c:v>
                </c:pt>
                <c:pt idx="11">
                  <c:v>8.3510699696514312E-2</c:v>
                </c:pt>
                <c:pt idx="12">
                  <c:v>0.10821736328631795</c:v>
                </c:pt>
                <c:pt idx="13">
                  <c:v>0.14119851082506377</c:v>
                </c:pt>
                <c:pt idx="14">
                  <c:v>0.15935314359944744</c:v>
                </c:pt>
                <c:pt idx="15">
                  <c:v>0.16986383041221256</c:v>
                </c:pt>
                <c:pt idx="16">
                  <c:v>0.17540176664285634</c:v>
                </c:pt>
                <c:pt idx="17">
                  <c:v>0.18758705567740133</c:v>
                </c:pt>
                <c:pt idx="18">
                  <c:v>0.17693480910055295</c:v>
                </c:pt>
                <c:pt idx="19">
                  <c:v>0.19382390956856899</c:v>
                </c:pt>
                <c:pt idx="20">
                  <c:v>0.18920134137402297</c:v>
                </c:pt>
                <c:pt idx="21">
                  <c:v>0.1972100522997153</c:v>
                </c:pt>
                <c:pt idx="22">
                  <c:v>0.20852392029379735</c:v>
                </c:pt>
                <c:pt idx="23">
                  <c:v>0.2402328251347691</c:v>
                </c:pt>
                <c:pt idx="24">
                  <c:v>0.26239473471355484</c:v>
                </c:pt>
                <c:pt idx="25">
                  <c:v>0.27368732598357692</c:v>
                </c:pt>
                <c:pt idx="26">
                  <c:v>0.32116976278692488</c:v>
                </c:pt>
                <c:pt idx="27">
                  <c:v>0.35383411415534821</c:v>
                </c:pt>
                <c:pt idx="28">
                  <c:v>0.34264667959002998</c:v>
                </c:pt>
                <c:pt idx="29">
                  <c:v>0.34392028867118785</c:v>
                </c:pt>
                <c:pt idx="30">
                  <c:v>0.27789732789881105</c:v>
                </c:pt>
                <c:pt idx="31">
                  <c:v>0.27114346885364526</c:v>
                </c:pt>
                <c:pt idx="32">
                  <c:v>0.24972956644549207</c:v>
                </c:pt>
                <c:pt idx="33">
                  <c:v>0.25244279055396307</c:v>
                </c:pt>
                <c:pt idx="34">
                  <c:v>0.21859162890785716</c:v>
                </c:pt>
                <c:pt idx="35">
                  <c:v>0.2110478329985479</c:v>
                </c:pt>
                <c:pt idx="36">
                  <c:v>0.16087078130141871</c:v>
                </c:pt>
                <c:pt idx="37">
                  <c:v>0.15473579622615807</c:v>
                </c:pt>
                <c:pt idx="38">
                  <c:v>0.10351906526556114</c:v>
                </c:pt>
                <c:pt idx="39">
                  <c:v>7.872315988463835E-2</c:v>
                </c:pt>
                <c:pt idx="40">
                  <c:v>4.2648449414960259E-2</c:v>
                </c:pt>
                <c:pt idx="41">
                  <c:v>2.7988977563419889E-2</c:v>
                </c:pt>
                <c:pt idx="42">
                  <c:v>1.301283962264969E-2</c:v>
                </c:pt>
                <c:pt idx="43">
                  <c:v>1.2207830836259306E-2</c:v>
                </c:pt>
                <c:pt idx="44">
                  <c:v>5.3963802278232118E-3</c:v>
                </c:pt>
                <c:pt idx="45">
                  <c:v>4.690849283472567E-3</c:v>
                </c:pt>
                <c:pt idx="46">
                  <c:v>2.2366988585601497E-3</c:v>
                </c:pt>
                <c:pt idx="47">
                  <c:v>2.2366988585601497E-3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9-4B06-B189-1C4F574F9AFA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1'!$G$213:$G$260</c:f>
              <c:numCache>
                <c:formatCode>###0.0%</c:formatCode>
                <c:ptCount val="48"/>
                <c:pt idx="0">
                  <c:v>4.5161966269904473E-4</c:v>
                </c:pt>
                <c:pt idx="1">
                  <c:v>4.5161966269904473E-4</c:v>
                </c:pt>
                <c:pt idx="2">
                  <c:v>7.5444008907997006E-4</c:v>
                </c:pt>
                <c:pt idx="3">
                  <c:v>1.3098265662163484E-3</c:v>
                </c:pt>
                <c:pt idx="4">
                  <c:v>3.0069486715693411E-3</c:v>
                </c:pt>
                <c:pt idx="5">
                  <c:v>6.9716942443693638E-3</c:v>
                </c:pt>
                <c:pt idx="6">
                  <c:v>1.3682833428002108E-2</c:v>
                </c:pt>
                <c:pt idx="7">
                  <c:v>1.6908278715393573E-2</c:v>
                </c:pt>
                <c:pt idx="8">
                  <c:v>2.5225247497356676E-2</c:v>
                </c:pt>
                <c:pt idx="9">
                  <c:v>2.8339797164301621E-2</c:v>
                </c:pt>
                <c:pt idx="10">
                  <c:v>3.9693354010464289E-2</c:v>
                </c:pt>
                <c:pt idx="11">
                  <c:v>4.6736057163018735E-2</c:v>
                </c:pt>
                <c:pt idx="12">
                  <c:v>3.2493575710794427E-2</c:v>
                </c:pt>
                <c:pt idx="13">
                  <c:v>3.4931818808018343E-2</c:v>
                </c:pt>
                <c:pt idx="14">
                  <c:v>4.3219020437250955E-2</c:v>
                </c:pt>
                <c:pt idx="15">
                  <c:v>4.8215520543480661E-2</c:v>
                </c:pt>
                <c:pt idx="16">
                  <c:v>5.753945100545059E-2</c:v>
                </c:pt>
                <c:pt idx="17">
                  <c:v>6.1980466868771102E-2</c:v>
                </c:pt>
                <c:pt idx="18">
                  <c:v>3.8492653903997802E-2</c:v>
                </c:pt>
                <c:pt idx="19">
                  <c:v>4.3607823210545592E-2</c:v>
                </c:pt>
                <c:pt idx="20">
                  <c:v>4.3876189986455788E-2</c:v>
                </c:pt>
                <c:pt idx="21">
                  <c:v>5.0080137549873741E-2</c:v>
                </c:pt>
                <c:pt idx="22">
                  <c:v>4.7725560458252152E-2</c:v>
                </c:pt>
                <c:pt idx="23">
                  <c:v>5.9794846042513422E-2</c:v>
                </c:pt>
                <c:pt idx="24">
                  <c:v>6.733086709546815E-2</c:v>
                </c:pt>
                <c:pt idx="25">
                  <c:v>7.971700134661254E-2</c:v>
                </c:pt>
                <c:pt idx="26">
                  <c:v>8.4902352299546069E-2</c:v>
                </c:pt>
                <c:pt idx="27">
                  <c:v>0.10817061725193101</c:v>
                </c:pt>
                <c:pt idx="28">
                  <c:v>0.13762663975333381</c:v>
                </c:pt>
                <c:pt idx="29">
                  <c:v>0.16570601501009755</c:v>
                </c:pt>
                <c:pt idx="30">
                  <c:v>0.27316395732078641</c:v>
                </c:pt>
                <c:pt idx="31">
                  <c:v>0.33060680142579602</c:v>
                </c:pt>
                <c:pt idx="32">
                  <c:v>0.3698414120802555</c:v>
                </c:pt>
                <c:pt idx="33">
                  <c:v>0.4413966284714344</c:v>
                </c:pt>
                <c:pt idx="34">
                  <c:v>0.48303692880965043</c:v>
                </c:pt>
                <c:pt idx="35">
                  <c:v>0.51084036922129628</c:v>
                </c:pt>
                <c:pt idx="36">
                  <c:v>0.33757250972818853</c:v>
                </c:pt>
                <c:pt idx="37">
                  <c:v>0.29126407565040896</c:v>
                </c:pt>
                <c:pt idx="38">
                  <c:v>0.16022620259415579</c:v>
                </c:pt>
                <c:pt idx="39">
                  <c:v>0.1134106057094936</c:v>
                </c:pt>
                <c:pt idx="40">
                  <c:v>4.5758461344305543E-2</c:v>
                </c:pt>
                <c:pt idx="41">
                  <c:v>3.2196188950765564E-2</c:v>
                </c:pt>
                <c:pt idx="42">
                  <c:v>8.9843692887443469E-3</c:v>
                </c:pt>
                <c:pt idx="43">
                  <c:v>7.3419560142436065E-3</c:v>
                </c:pt>
                <c:pt idx="44">
                  <c:v>3.0021846130362205E-3</c:v>
                </c:pt>
                <c:pt idx="45">
                  <c:v>1.7387670743019168E-3</c:v>
                </c:pt>
                <c:pt idx="46">
                  <c:v>2.1249397076557419E-3</c:v>
                </c:pt>
                <c:pt idx="47">
                  <c:v>1.2871474116028722E-3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9-4B06-B189-1C4F574F9AFA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1'!$A$213:$A$260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1'!$H$213:$H$260</c:f>
              <c:numCache>
                <c:formatCode>###0.0%</c:formatCode>
                <c:ptCount val="48"/>
                <c:pt idx="0">
                  <c:v>7.7306945830977428E-4</c:v>
                </c:pt>
                <c:pt idx="1">
                  <c:v>7.7306945830977428E-4</c:v>
                </c:pt>
                <c:pt idx="2">
                  <c:v>0</c:v>
                </c:pt>
                <c:pt idx="3">
                  <c:v>0</c:v>
                </c:pt>
                <c:pt idx="4">
                  <c:v>1.5575354128418827E-3</c:v>
                </c:pt>
                <c:pt idx="5">
                  <c:v>8.4289741961492799E-4</c:v>
                </c:pt>
                <c:pt idx="6">
                  <c:v>2.0319024382816284E-3</c:v>
                </c:pt>
                <c:pt idx="7">
                  <c:v>2.1571838373994684E-3</c:v>
                </c:pt>
                <c:pt idx="8">
                  <c:v>2.7850979687977966E-3</c:v>
                </c:pt>
                <c:pt idx="9">
                  <c:v>1.6020207379437012E-3</c:v>
                </c:pt>
                <c:pt idx="10">
                  <c:v>2.6245991815638334E-3</c:v>
                </c:pt>
                <c:pt idx="11">
                  <c:v>1.5234648484353595E-3</c:v>
                </c:pt>
                <c:pt idx="12">
                  <c:v>6.6903072378788446E-3</c:v>
                </c:pt>
                <c:pt idx="13">
                  <c:v>6.6163132290044842E-3</c:v>
                </c:pt>
                <c:pt idx="14">
                  <c:v>7.4769008902685471E-3</c:v>
                </c:pt>
                <c:pt idx="15">
                  <c:v>3.1578156487343939E-3</c:v>
                </c:pt>
                <c:pt idx="16">
                  <c:v>3.5632399387247422E-3</c:v>
                </c:pt>
                <c:pt idx="17">
                  <c:v>4.2456989495436633E-3</c:v>
                </c:pt>
                <c:pt idx="18">
                  <c:v>2.5356368576012881E-3</c:v>
                </c:pt>
                <c:pt idx="19">
                  <c:v>2.8622089572235541E-3</c:v>
                </c:pt>
                <c:pt idx="20">
                  <c:v>2.1648587497760533E-3</c:v>
                </c:pt>
                <c:pt idx="21">
                  <c:v>1.1927665908148474E-3</c:v>
                </c:pt>
                <c:pt idx="22">
                  <c:v>1.1509338639531345E-3</c:v>
                </c:pt>
                <c:pt idx="23">
                  <c:v>2.8752486253377845E-3</c:v>
                </c:pt>
                <c:pt idx="24">
                  <c:v>2.4589297084493295E-3</c:v>
                </c:pt>
                <c:pt idx="25">
                  <c:v>2.0337981079923727E-3</c:v>
                </c:pt>
                <c:pt idx="26">
                  <c:v>3.0128824793251587E-3</c:v>
                </c:pt>
                <c:pt idx="27">
                  <c:v>4.6170281047285665E-3</c:v>
                </c:pt>
                <c:pt idx="28">
                  <c:v>3.5075922432491785E-3</c:v>
                </c:pt>
                <c:pt idx="29">
                  <c:v>1.7349562180771897E-3</c:v>
                </c:pt>
                <c:pt idx="30">
                  <c:v>9.9153671198927147E-4</c:v>
                </c:pt>
                <c:pt idx="31">
                  <c:v>3.291184038995133E-3</c:v>
                </c:pt>
                <c:pt idx="32">
                  <c:v>4.6551349889179605E-3</c:v>
                </c:pt>
                <c:pt idx="33">
                  <c:v>5.8324425519611332E-3</c:v>
                </c:pt>
                <c:pt idx="34">
                  <c:v>1.0317531078733611E-2</c:v>
                </c:pt>
                <c:pt idx="35">
                  <c:v>3.563394003957731E-3</c:v>
                </c:pt>
                <c:pt idx="36">
                  <c:v>9.604751599963695E-3</c:v>
                </c:pt>
                <c:pt idx="37">
                  <c:v>3.3574770191093809E-3</c:v>
                </c:pt>
                <c:pt idx="38">
                  <c:v>5.732315004520097E-3</c:v>
                </c:pt>
                <c:pt idx="39">
                  <c:v>4.0570822529678906E-3</c:v>
                </c:pt>
                <c:pt idx="40">
                  <c:v>1.2922692810489864E-3</c:v>
                </c:pt>
                <c:pt idx="41">
                  <c:v>5.8673833669834147E-4</c:v>
                </c:pt>
                <c:pt idx="42">
                  <c:v>3.2592778633868595E-4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9-4B06-B189-1C4F574F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56096"/>
        <c:axId val="1099060448"/>
      </c:areaChart>
      <c:catAx>
        <c:axId val="1099056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0448"/>
        <c:crosses val="autoZero"/>
        <c:auto val="1"/>
        <c:lblAlgn val="ctr"/>
        <c:lblOffset val="100"/>
        <c:noMultiLvlLbl val="0"/>
      </c:catAx>
      <c:valAx>
        <c:axId val="109906044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6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1'!$B$265:$B$312</c:f>
              <c:numCache>
                <c:formatCode>###0.0%</c:formatCode>
                <c:ptCount val="48"/>
                <c:pt idx="0">
                  <c:v>3.4702162814225041E-3</c:v>
                </c:pt>
                <c:pt idx="1">
                  <c:v>4.4131341740817377E-3</c:v>
                </c:pt>
                <c:pt idx="2">
                  <c:v>1.4300945972094017E-2</c:v>
                </c:pt>
                <c:pt idx="3">
                  <c:v>3.2248516257502288E-2</c:v>
                </c:pt>
                <c:pt idx="4">
                  <c:v>6.7164289809682878E-2</c:v>
                </c:pt>
                <c:pt idx="5">
                  <c:v>0.12080326232100159</c:v>
                </c:pt>
                <c:pt idx="6">
                  <c:v>0.18267395469009856</c:v>
                </c:pt>
                <c:pt idx="7">
                  <c:v>0.22517858467789129</c:v>
                </c:pt>
                <c:pt idx="8">
                  <c:v>0.27680534567532517</c:v>
                </c:pt>
                <c:pt idx="9">
                  <c:v>0.29075164062929199</c:v>
                </c:pt>
                <c:pt idx="10">
                  <c:v>0.2873611640743623</c:v>
                </c:pt>
                <c:pt idx="11">
                  <c:v>0.30750257579996304</c:v>
                </c:pt>
                <c:pt idx="12">
                  <c:v>0.25116954965041616</c:v>
                </c:pt>
                <c:pt idx="13">
                  <c:v>0.30486173029695818</c:v>
                </c:pt>
                <c:pt idx="14">
                  <c:v>0.31481685806927145</c:v>
                </c:pt>
                <c:pt idx="15">
                  <c:v>0.34318992714028002</c:v>
                </c:pt>
                <c:pt idx="16">
                  <c:v>0.35083567030696577</c:v>
                </c:pt>
                <c:pt idx="17">
                  <c:v>0.37226912342067892</c:v>
                </c:pt>
                <c:pt idx="18">
                  <c:v>0.3355947107537896</c:v>
                </c:pt>
                <c:pt idx="19">
                  <c:v>0.34579665810591897</c:v>
                </c:pt>
                <c:pt idx="20">
                  <c:v>0.33237522054892776</c:v>
                </c:pt>
                <c:pt idx="21">
                  <c:v>0.31284738415848012</c:v>
                </c:pt>
                <c:pt idx="22">
                  <c:v>0.28563113892028147</c:v>
                </c:pt>
                <c:pt idx="23">
                  <c:v>0.23322615812867517</c:v>
                </c:pt>
                <c:pt idx="24">
                  <c:v>0.19515021753588971</c:v>
                </c:pt>
                <c:pt idx="25">
                  <c:v>0.16301159670392951</c:v>
                </c:pt>
                <c:pt idx="26">
                  <c:v>0.14016061281660316</c:v>
                </c:pt>
                <c:pt idx="27">
                  <c:v>0.12434379754925154</c:v>
                </c:pt>
                <c:pt idx="28">
                  <c:v>9.5527869677189944E-2</c:v>
                </c:pt>
                <c:pt idx="29">
                  <c:v>9.275295857408955E-2</c:v>
                </c:pt>
                <c:pt idx="30">
                  <c:v>7.3009265086739689E-2</c:v>
                </c:pt>
                <c:pt idx="31">
                  <c:v>6.7575966991157352E-2</c:v>
                </c:pt>
                <c:pt idx="32">
                  <c:v>6.3279834210882985E-2</c:v>
                </c:pt>
                <c:pt idx="33">
                  <c:v>5.8831713896434351E-2</c:v>
                </c:pt>
                <c:pt idx="34">
                  <c:v>4.7796910526033125E-2</c:v>
                </c:pt>
                <c:pt idx="35">
                  <c:v>5.140251966369408E-2</c:v>
                </c:pt>
                <c:pt idx="36">
                  <c:v>4.3716150429263037E-2</c:v>
                </c:pt>
                <c:pt idx="37">
                  <c:v>2.8392153559844112E-2</c:v>
                </c:pt>
                <c:pt idx="38">
                  <c:v>2.4390118774464974E-2</c:v>
                </c:pt>
                <c:pt idx="39">
                  <c:v>1.8182046099359465E-2</c:v>
                </c:pt>
                <c:pt idx="40">
                  <c:v>9.5826705662119867E-3</c:v>
                </c:pt>
                <c:pt idx="41">
                  <c:v>7.1786758319578947E-3</c:v>
                </c:pt>
                <c:pt idx="42">
                  <c:v>2.3228766663169159E-3</c:v>
                </c:pt>
                <c:pt idx="43">
                  <c:v>2.3228766663169159E-3</c:v>
                </c:pt>
                <c:pt idx="44">
                  <c:v>1.9980226913497616E-3</c:v>
                </c:pt>
                <c:pt idx="45">
                  <c:v>1.1666472096020972E-3</c:v>
                </c:pt>
                <c:pt idx="46">
                  <c:v>1.1666472096020972E-3</c:v>
                </c:pt>
                <c:pt idx="47">
                  <c:v>1.1666472096020972E-3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CC-4823-B96D-0B7553E1571C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1'!$C$265:$C$312</c:f>
              <c:numCache>
                <c:formatCode>###0.0%</c:formatCode>
                <c:ptCount val="48"/>
                <c:pt idx="0">
                  <c:v>2.7376539349880085E-3</c:v>
                </c:pt>
                <c:pt idx="1">
                  <c:v>2.3146133682439966E-3</c:v>
                </c:pt>
                <c:pt idx="2">
                  <c:v>7.7473909808159994E-3</c:v>
                </c:pt>
                <c:pt idx="3">
                  <c:v>1.4878991630163818E-2</c:v>
                </c:pt>
                <c:pt idx="4">
                  <c:v>2.9880226944196116E-2</c:v>
                </c:pt>
                <c:pt idx="5">
                  <c:v>4.8547050681283552E-2</c:v>
                </c:pt>
                <c:pt idx="6">
                  <c:v>0.11559977629164306</c:v>
                </c:pt>
                <c:pt idx="7">
                  <c:v>0.17720081090032169</c:v>
                </c:pt>
                <c:pt idx="8">
                  <c:v>0.2210482588294693</c:v>
                </c:pt>
                <c:pt idx="9">
                  <c:v>0.2600652267232193</c:v>
                </c:pt>
                <c:pt idx="10">
                  <c:v>0.27113854550390115</c:v>
                </c:pt>
                <c:pt idx="11">
                  <c:v>0.30162994142188376</c:v>
                </c:pt>
                <c:pt idx="12">
                  <c:v>0.35315002855947336</c:v>
                </c:pt>
                <c:pt idx="13">
                  <c:v>0.35745209161284569</c:v>
                </c:pt>
                <c:pt idx="14">
                  <c:v>0.35127011076618297</c:v>
                </c:pt>
                <c:pt idx="15">
                  <c:v>0.36549069681320762</c:v>
                </c:pt>
                <c:pt idx="16">
                  <c:v>0.34821290839435209</c:v>
                </c:pt>
                <c:pt idx="17">
                  <c:v>0.33724879705988475</c:v>
                </c:pt>
                <c:pt idx="18">
                  <c:v>0.31386529827419085</c:v>
                </c:pt>
                <c:pt idx="19">
                  <c:v>0.31230657680633606</c:v>
                </c:pt>
                <c:pt idx="20">
                  <c:v>0.27436914775909549</c:v>
                </c:pt>
                <c:pt idx="21">
                  <c:v>0.27593111958672017</c:v>
                </c:pt>
                <c:pt idx="22">
                  <c:v>0.24224863720580458</c:v>
                </c:pt>
                <c:pt idx="23">
                  <c:v>0.24686567876817683</c:v>
                </c:pt>
                <c:pt idx="24">
                  <c:v>0.26145391090018527</c:v>
                </c:pt>
                <c:pt idx="25">
                  <c:v>0.25544483382429278</c:v>
                </c:pt>
                <c:pt idx="26">
                  <c:v>0.28328020403816634</c:v>
                </c:pt>
                <c:pt idx="27">
                  <c:v>0.26196076412926234</c:v>
                </c:pt>
                <c:pt idx="28">
                  <c:v>0.28464661779302358</c:v>
                </c:pt>
                <c:pt idx="29">
                  <c:v>0.27501042142185039</c:v>
                </c:pt>
                <c:pt idx="30">
                  <c:v>0.24878204525299336</c:v>
                </c:pt>
                <c:pt idx="31">
                  <c:v>0.24168118178004852</c:v>
                </c:pt>
                <c:pt idx="32">
                  <c:v>0.20029702805491376</c:v>
                </c:pt>
                <c:pt idx="33">
                  <c:v>0.16974050042653352</c:v>
                </c:pt>
                <c:pt idx="34">
                  <c:v>0.1303883748875575</c:v>
                </c:pt>
                <c:pt idx="35">
                  <c:v>0.10192949297808004</c:v>
                </c:pt>
                <c:pt idx="36">
                  <c:v>6.6497229123768389E-2</c:v>
                </c:pt>
                <c:pt idx="37">
                  <c:v>3.9895634438313607E-2</c:v>
                </c:pt>
                <c:pt idx="38">
                  <c:v>2.5648320495707057E-2</c:v>
                </c:pt>
                <c:pt idx="39">
                  <c:v>1.2727544334337955E-2</c:v>
                </c:pt>
                <c:pt idx="40">
                  <c:v>4.7546937616346407E-3</c:v>
                </c:pt>
                <c:pt idx="41">
                  <c:v>3.8847480125782418E-3</c:v>
                </c:pt>
                <c:pt idx="42">
                  <c:v>1.7450029432764858E-3</c:v>
                </c:pt>
                <c:pt idx="43">
                  <c:v>1.4056372480552471E-3</c:v>
                </c:pt>
                <c:pt idx="44">
                  <c:v>1.9792888325515143E-3</c:v>
                </c:pt>
                <c:pt idx="45">
                  <c:v>6.6854929144980824E-4</c:v>
                </c:pt>
                <c:pt idx="46">
                  <c:v>0</c:v>
                </c:pt>
                <c:pt idx="47">
                  <c:v>8.313754817476642E-4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CC-4823-B96D-0B7553E1571C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1'!$D$265:$D$312</c:f>
              <c:numCache>
                <c:formatCode>###0.0%</c:formatCode>
                <c:ptCount val="48"/>
                <c:pt idx="0">
                  <c:v>6.7601231833479085E-4</c:v>
                </c:pt>
                <c:pt idx="1">
                  <c:v>1.2066485717209718E-3</c:v>
                </c:pt>
                <c:pt idx="2">
                  <c:v>6.3829068170375989E-3</c:v>
                </c:pt>
                <c:pt idx="3">
                  <c:v>1.2401442182517344E-2</c:v>
                </c:pt>
                <c:pt idx="4">
                  <c:v>1.4377337320859543E-2</c:v>
                </c:pt>
                <c:pt idx="5">
                  <c:v>5.3687784068276255E-2</c:v>
                </c:pt>
                <c:pt idx="6">
                  <c:v>6.2300872327359633E-2</c:v>
                </c:pt>
                <c:pt idx="7">
                  <c:v>0.14047389665472673</c:v>
                </c:pt>
                <c:pt idx="8">
                  <c:v>0.14337321058965879</c:v>
                </c:pt>
                <c:pt idx="9">
                  <c:v>0.17839054109167193</c:v>
                </c:pt>
                <c:pt idx="10">
                  <c:v>0.20536781167213689</c:v>
                </c:pt>
                <c:pt idx="11">
                  <c:v>0.16698769149146339</c:v>
                </c:pt>
                <c:pt idx="12">
                  <c:v>0.18554058519524022</c:v>
                </c:pt>
                <c:pt idx="13">
                  <c:v>0.12795992372027368</c:v>
                </c:pt>
                <c:pt idx="14">
                  <c:v>9.4220141986310194E-2</c:v>
                </c:pt>
                <c:pt idx="15">
                  <c:v>6.3956519520893818E-2</c:v>
                </c:pt>
                <c:pt idx="16">
                  <c:v>8.1182149775953227E-2</c:v>
                </c:pt>
                <c:pt idx="17">
                  <c:v>6.1366387836994891E-2</c:v>
                </c:pt>
                <c:pt idx="18">
                  <c:v>0.11757503581053647</c:v>
                </c:pt>
                <c:pt idx="19">
                  <c:v>9.384192569067204E-2</c:v>
                </c:pt>
                <c:pt idx="20">
                  <c:v>0.14998012009596709</c:v>
                </c:pt>
                <c:pt idx="21">
                  <c:v>0.15169845242817315</c:v>
                </c:pt>
                <c:pt idx="22">
                  <c:v>0.15482882231537784</c:v>
                </c:pt>
                <c:pt idx="23">
                  <c:v>0.16571867443275162</c:v>
                </c:pt>
                <c:pt idx="24">
                  <c:v>0.13656481818665608</c:v>
                </c:pt>
                <c:pt idx="25">
                  <c:v>0.13623730783271656</c:v>
                </c:pt>
                <c:pt idx="26">
                  <c:v>0.14240612631309282</c:v>
                </c:pt>
                <c:pt idx="27">
                  <c:v>0.13694072606880067</c:v>
                </c:pt>
                <c:pt idx="28">
                  <c:v>0.12736701526008704</c:v>
                </c:pt>
                <c:pt idx="29">
                  <c:v>0.12209779768491343</c:v>
                </c:pt>
                <c:pt idx="30">
                  <c:v>0.15061808360258433</c:v>
                </c:pt>
                <c:pt idx="31">
                  <c:v>0.16155268021714936</c:v>
                </c:pt>
                <c:pt idx="32">
                  <c:v>0.17850911234229777</c:v>
                </c:pt>
                <c:pt idx="33">
                  <c:v>0.1038679124317278</c:v>
                </c:pt>
                <c:pt idx="34">
                  <c:v>6.6770963959216362E-2</c:v>
                </c:pt>
                <c:pt idx="35">
                  <c:v>3.2967040974339099E-2</c:v>
                </c:pt>
                <c:pt idx="36">
                  <c:v>1.1000416532134931E-2</c:v>
                </c:pt>
                <c:pt idx="37">
                  <c:v>1.2559061052953246E-2</c:v>
                </c:pt>
                <c:pt idx="38">
                  <c:v>4.924308704227282E-3</c:v>
                </c:pt>
                <c:pt idx="39">
                  <c:v>4.0876555861148883E-3</c:v>
                </c:pt>
                <c:pt idx="40">
                  <c:v>2.6690557432444304E-4</c:v>
                </c:pt>
                <c:pt idx="41">
                  <c:v>8.313754817476642E-4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CC-4823-B96D-0B7553E1571C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1'!$E$265:$E$312</c:f>
              <c:numCache>
                <c:formatCode>###0.0%</c:formatCode>
                <c:ptCount val="48"/>
                <c:pt idx="0">
                  <c:v>0.99244580355872392</c:v>
                </c:pt>
                <c:pt idx="1">
                  <c:v>0.9914678771040939</c:v>
                </c:pt>
                <c:pt idx="2">
                  <c:v>0.96946224934077763</c:v>
                </c:pt>
                <c:pt idx="3">
                  <c:v>0.9331488855926463</c:v>
                </c:pt>
                <c:pt idx="4">
                  <c:v>0.87765571443281098</c:v>
                </c:pt>
                <c:pt idx="5">
                  <c:v>0.76517579555268367</c:v>
                </c:pt>
                <c:pt idx="6">
                  <c:v>0.61588975092345233</c:v>
                </c:pt>
                <c:pt idx="7">
                  <c:v>0.4211400539770595</c:v>
                </c:pt>
                <c:pt idx="8">
                  <c:v>0.30721960403134885</c:v>
                </c:pt>
                <c:pt idx="9">
                  <c:v>0.20318145737393598</c:v>
                </c:pt>
                <c:pt idx="10">
                  <c:v>0.15409794148719896</c:v>
                </c:pt>
                <c:pt idx="11">
                  <c:v>0.11005628917519882</c:v>
                </c:pt>
                <c:pt idx="12">
                  <c:v>7.0942475700144836E-2</c:v>
                </c:pt>
                <c:pt idx="13">
                  <c:v>4.2330680825978816E-2</c:v>
                </c:pt>
                <c:pt idx="14">
                  <c:v>3.5953838477108251E-2</c:v>
                </c:pt>
                <c:pt idx="15">
                  <c:v>2.8286460284298445E-2</c:v>
                </c:pt>
                <c:pt idx="16">
                  <c:v>2.6632344293126175E-2</c:v>
                </c:pt>
                <c:pt idx="17">
                  <c:v>2.7180255209784964E-2</c:v>
                </c:pt>
                <c:pt idx="18">
                  <c:v>3.281745960258553E-2</c:v>
                </c:pt>
                <c:pt idx="19">
                  <c:v>2.8306939070537593E-2</c:v>
                </c:pt>
                <c:pt idx="20">
                  <c:v>3.9459215362935729E-2</c:v>
                </c:pt>
                <c:pt idx="21">
                  <c:v>3.1151390899092305E-2</c:v>
                </c:pt>
                <c:pt idx="22">
                  <c:v>4.3362009136711031E-2</c:v>
                </c:pt>
                <c:pt idx="23">
                  <c:v>4.0711141953625206E-2</c:v>
                </c:pt>
                <c:pt idx="24">
                  <c:v>5.6560804389681883E-2</c:v>
                </c:pt>
                <c:pt idx="25">
                  <c:v>5.647970527816297E-2</c:v>
                </c:pt>
                <c:pt idx="26">
                  <c:v>4.8071980084344199E-2</c:v>
                </c:pt>
                <c:pt idx="27">
                  <c:v>4.7007279704467608E-2</c:v>
                </c:pt>
                <c:pt idx="28">
                  <c:v>3.6764327337868108E-2</c:v>
                </c:pt>
                <c:pt idx="29">
                  <c:v>3.9936956786314398E-2</c:v>
                </c:pt>
                <c:pt idx="30">
                  <c:v>3.8705510408560032E-2</c:v>
                </c:pt>
                <c:pt idx="31">
                  <c:v>3.8392743398587732E-2</c:v>
                </c:pt>
                <c:pt idx="32">
                  <c:v>4.9368802340084228E-2</c:v>
                </c:pt>
                <c:pt idx="33">
                  <c:v>5.7444150746831922E-2</c:v>
                </c:pt>
                <c:pt idx="34">
                  <c:v>0.12472716249562117</c:v>
                </c:pt>
                <c:pt idx="35">
                  <c:v>0.15779839434072726</c:v>
                </c:pt>
                <c:pt idx="36">
                  <c:v>0.40512417826953351</c:v>
                </c:pt>
                <c:pt idx="37">
                  <c:v>0.50500811120571076</c:v>
                </c:pt>
                <c:pt idx="38">
                  <c:v>0.72112116597469167</c:v>
                </c:pt>
                <c:pt idx="39">
                  <c:v>0.81388812458790261</c:v>
                </c:pt>
                <c:pt idx="40">
                  <c:v>0.92367328925312531</c:v>
                </c:pt>
                <c:pt idx="41">
                  <c:v>0.96078636155975805</c:v>
                </c:pt>
                <c:pt idx="42">
                  <c:v>0.98300529401698555</c:v>
                </c:pt>
                <c:pt idx="43">
                  <c:v>0.98634506239835373</c:v>
                </c:pt>
                <c:pt idx="44">
                  <c:v>0.99261648967541438</c:v>
                </c:pt>
                <c:pt idx="45">
                  <c:v>0.99446991537967866</c:v>
                </c:pt>
                <c:pt idx="46">
                  <c:v>0.99652563706207697</c:v>
                </c:pt>
                <c:pt idx="47">
                  <c:v>0.99603362727555056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CC-4823-B96D-0B7553E1571C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1'!$F$265:$F$312</c:f>
              <c:numCache>
                <c:formatCode>###0.0%</c:formatCode>
                <c:ptCount val="48"/>
                <c:pt idx="0">
                  <c:v>0</c:v>
                </c:pt>
                <c:pt idx="1">
                  <c:v>2.6677857054979118E-4</c:v>
                </c:pt>
                <c:pt idx="2">
                  <c:v>2.1065068892740656E-3</c:v>
                </c:pt>
                <c:pt idx="3">
                  <c:v>5.7373049025698283E-3</c:v>
                </c:pt>
                <c:pt idx="4">
                  <c:v>5.3438702332405915E-3</c:v>
                </c:pt>
                <c:pt idx="5">
                  <c:v>8.3943006052733821E-3</c:v>
                </c:pt>
                <c:pt idx="6">
                  <c:v>9.0393991704892079E-3</c:v>
                </c:pt>
                <c:pt idx="7">
                  <c:v>1.776149331070179E-2</c:v>
                </c:pt>
                <c:pt idx="8">
                  <c:v>2.7854290189503982E-2</c:v>
                </c:pt>
                <c:pt idx="9">
                  <c:v>3.8158627796964717E-2</c:v>
                </c:pt>
                <c:pt idx="10">
                  <c:v>5.2644667850870207E-2</c:v>
                </c:pt>
                <c:pt idx="11">
                  <c:v>7.7495143087767074E-2</c:v>
                </c:pt>
                <c:pt idx="12">
                  <c:v>9.8079054960563961E-2</c:v>
                </c:pt>
                <c:pt idx="13">
                  <c:v>0.11850395669296945</c:v>
                </c:pt>
                <c:pt idx="14">
                  <c:v>0.15203284170618483</c:v>
                </c:pt>
                <c:pt idx="15">
                  <c:v>0.14872070043072991</c:v>
                </c:pt>
                <c:pt idx="16">
                  <c:v>0.14674055322913804</c:v>
                </c:pt>
                <c:pt idx="17">
                  <c:v>0.15052812963802126</c:v>
                </c:pt>
                <c:pt idx="18">
                  <c:v>0.15608959103189329</c:v>
                </c:pt>
                <c:pt idx="19">
                  <c:v>0.17141746414478218</c:v>
                </c:pt>
                <c:pt idx="20">
                  <c:v>0.16373931999803523</c:v>
                </c:pt>
                <c:pt idx="21">
                  <c:v>0.17890089512079851</c:v>
                </c:pt>
                <c:pt idx="22">
                  <c:v>0.21442993590741685</c:v>
                </c:pt>
                <c:pt idx="23">
                  <c:v>0.24372870337639077</c:v>
                </c:pt>
                <c:pt idx="24">
                  <c:v>0.25751215746948364</c:v>
                </c:pt>
                <c:pt idx="25">
                  <c:v>0.2884397240000614</c:v>
                </c:pt>
                <c:pt idx="26">
                  <c:v>0.29034348912338492</c:v>
                </c:pt>
                <c:pt idx="27">
                  <c:v>0.31166910777637069</c:v>
                </c:pt>
                <c:pt idx="28">
                  <c:v>0.31718973917001114</c:v>
                </c:pt>
                <c:pt idx="29">
                  <c:v>0.31762920396598515</c:v>
                </c:pt>
                <c:pt idx="30">
                  <c:v>0.21854106810002569</c:v>
                </c:pt>
                <c:pt idx="31">
                  <c:v>0.20580213130332864</c:v>
                </c:pt>
                <c:pt idx="32">
                  <c:v>0.17083768328051185</c:v>
                </c:pt>
                <c:pt idx="33">
                  <c:v>0.1779969717691029</c:v>
                </c:pt>
                <c:pt idx="34">
                  <c:v>0.15759448479582625</c:v>
                </c:pt>
                <c:pt idx="35">
                  <c:v>0.14910104778169947</c:v>
                </c:pt>
                <c:pt idx="36">
                  <c:v>0.1395395804845059</c:v>
                </c:pt>
                <c:pt idx="37">
                  <c:v>0.12052940805853371</c:v>
                </c:pt>
                <c:pt idx="38">
                  <c:v>8.5130308752321818E-2</c:v>
                </c:pt>
                <c:pt idx="39">
                  <c:v>6.3272172176629934E-2</c:v>
                </c:pt>
                <c:pt idx="40">
                  <c:v>3.3448899903516141E-2</c:v>
                </c:pt>
                <c:pt idx="41">
                  <c:v>1.2363047728476748E-2</c:v>
                </c:pt>
                <c:pt idx="42">
                  <c:v>6.706550939778397E-3</c:v>
                </c:pt>
                <c:pt idx="43">
                  <c:v>3.8525069219222576E-3</c:v>
                </c:pt>
                <c:pt idx="44">
                  <c:v>2.7274674102413989E-3</c:v>
                </c:pt>
                <c:pt idx="45">
                  <c:v>2.5241469422999864E-3</c:v>
                </c:pt>
                <c:pt idx="46">
                  <c:v>1.9683500330994648E-3</c:v>
                </c:pt>
                <c:pt idx="47">
                  <c:v>1.9683500330994648E-3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CC-4823-B96D-0B7553E1571C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1'!$G$265:$G$312</c:f>
              <c:numCache>
                <c:formatCode>###0.0%</c:formatCode>
                <c:ptCount val="48"/>
                <c:pt idx="0">
                  <c:v>6.703139065303913E-4</c:v>
                </c:pt>
                <c:pt idx="1">
                  <c:v>3.3094821130915308E-4</c:v>
                </c:pt>
                <c:pt idx="2">
                  <c:v>0</c:v>
                </c:pt>
                <c:pt idx="3">
                  <c:v>9.4710379274230228E-4</c:v>
                </c:pt>
                <c:pt idx="4">
                  <c:v>4.649863063126437E-3</c:v>
                </c:pt>
                <c:pt idx="5">
                  <c:v>2.7540511296241812E-3</c:v>
                </c:pt>
                <c:pt idx="6">
                  <c:v>1.1613527746593749E-2</c:v>
                </c:pt>
                <c:pt idx="7">
                  <c:v>1.6231891904147051E-2</c:v>
                </c:pt>
                <c:pt idx="8">
                  <c:v>1.6677724199325682E-2</c:v>
                </c:pt>
                <c:pt idx="9">
                  <c:v>2.5444487729380308E-2</c:v>
                </c:pt>
                <c:pt idx="10">
                  <c:v>2.4574683381982643E-2</c:v>
                </c:pt>
                <c:pt idx="11">
                  <c:v>3.3098732569206916E-2</c:v>
                </c:pt>
                <c:pt idx="12">
                  <c:v>3.6391265912607634E-2</c:v>
                </c:pt>
                <c:pt idx="13">
                  <c:v>4.6773389323722873E-2</c:v>
                </c:pt>
                <c:pt idx="14">
                  <c:v>4.6175543852096788E-2</c:v>
                </c:pt>
                <c:pt idx="15">
                  <c:v>4.6368976904922671E-2</c:v>
                </c:pt>
                <c:pt idx="16">
                  <c:v>4.2906918457482686E-2</c:v>
                </c:pt>
                <c:pt idx="17">
                  <c:v>4.8411534291154752E-2</c:v>
                </c:pt>
                <c:pt idx="18">
                  <c:v>4.0775179842081372E-2</c:v>
                </c:pt>
                <c:pt idx="19">
                  <c:v>4.456463304740655E-2</c:v>
                </c:pt>
                <c:pt idx="20">
                  <c:v>3.8496330956663209E-2</c:v>
                </c:pt>
                <c:pt idx="21">
                  <c:v>4.4051561475710981E-2</c:v>
                </c:pt>
                <c:pt idx="22">
                  <c:v>5.8612711393899994E-2</c:v>
                </c:pt>
                <c:pt idx="23">
                  <c:v>6.9081074953943181E-2</c:v>
                </c:pt>
                <c:pt idx="24">
                  <c:v>9.1409557108534864E-2</c:v>
                </c:pt>
                <c:pt idx="25">
                  <c:v>9.8093549098231078E-2</c:v>
                </c:pt>
                <c:pt idx="26">
                  <c:v>9.343021976428241E-2</c:v>
                </c:pt>
                <c:pt idx="27">
                  <c:v>0.11556357972101095</c:v>
                </c:pt>
                <c:pt idx="28">
                  <c:v>0.13667321824511908</c:v>
                </c:pt>
                <c:pt idx="29">
                  <c:v>0.15189348098379876</c:v>
                </c:pt>
                <c:pt idx="30">
                  <c:v>0.2703440275490987</c:v>
                </c:pt>
                <c:pt idx="31">
                  <c:v>0.28441876686787992</c:v>
                </c:pt>
                <c:pt idx="32">
                  <c:v>0.33602847186355972</c:v>
                </c:pt>
                <c:pt idx="33">
                  <c:v>0.42830774039019898</c:v>
                </c:pt>
                <c:pt idx="34">
                  <c:v>0.4720215462600873</c:v>
                </c:pt>
                <c:pt idx="35">
                  <c:v>0.50317498209491351</c:v>
                </c:pt>
                <c:pt idx="36">
                  <c:v>0.33101209628161077</c:v>
                </c:pt>
                <c:pt idx="37">
                  <c:v>0.28979888751763239</c:v>
                </c:pt>
                <c:pt idx="38">
                  <c:v>0.13878577729858899</c:v>
                </c:pt>
                <c:pt idx="39">
                  <c:v>8.6249705438263297E-2</c:v>
                </c:pt>
                <c:pt idx="40">
                  <c:v>2.6525465092435446E-2</c:v>
                </c:pt>
                <c:pt idx="41">
                  <c:v>1.3945262057028427E-2</c:v>
                </c:pt>
                <c:pt idx="42">
                  <c:v>6.2202754336423902E-3</c:v>
                </c:pt>
                <c:pt idx="43">
                  <c:v>6.073916765351673E-3</c:v>
                </c:pt>
                <c:pt idx="44">
                  <c:v>6.7873139044247665E-4</c:v>
                </c:pt>
                <c:pt idx="45">
                  <c:v>3.3936569522123833E-4</c:v>
                </c:pt>
                <c:pt idx="46">
                  <c:v>3.3936569522123833E-4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CC-4823-B96D-0B7553E1571C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1'!$A$265:$A$312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1'!$H$265:$H$312</c:f>
              <c:numCache>
                <c:formatCode>###0.0%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6.3775564185692888E-4</c:v>
                </c:pt>
                <c:pt idx="4">
                  <c:v>9.2869819608154894E-4</c:v>
                </c:pt>
                <c:pt idx="5">
                  <c:v>6.3775564185692888E-4</c:v>
                </c:pt>
                <c:pt idx="6">
                  <c:v>2.8827188503647598E-3</c:v>
                </c:pt>
                <c:pt idx="7">
                  <c:v>2.0132685751538858E-3</c:v>
                </c:pt>
                <c:pt idx="8">
                  <c:v>7.02156648536972E-3</c:v>
                </c:pt>
                <c:pt idx="9">
                  <c:v>4.0080186555369436E-3</c:v>
                </c:pt>
                <c:pt idx="10">
                  <c:v>4.8151860295491703E-3</c:v>
                </c:pt>
                <c:pt idx="11">
                  <c:v>3.2296264545175137E-3</c:v>
                </c:pt>
                <c:pt idx="12">
                  <c:v>4.7270400215546488E-3</c:v>
                </c:pt>
                <c:pt idx="13">
                  <c:v>2.1182275272517612E-3</c:v>
                </c:pt>
                <c:pt idx="14">
                  <c:v>5.5306651428461652E-3</c:v>
                </c:pt>
                <c:pt idx="15">
                  <c:v>3.9867189056683877E-3</c:v>
                </c:pt>
                <c:pt idx="16">
                  <c:v>3.4894555429823091E-3</c:v>
                </c:pt>
                <c:pt idx="17">
                  <c:v>2.9957725434808635E-3</c:v>
                </c:pt>
                <c:pt idx="18">
                  <c:v>3.2827246849234802E-3</c:v>
                </c:pt>
                <c:pt idx="19">
                  <c:v>3.7658031343473885E-3</c:v>
                </c:pt>
                <c:pt idx="20">
                  <c:v>1.5806452783766176E-3</c:v>
                </c:pt>
                <c:pt idx="21">
                  <c:v>5.419196331025734E-3</c:v>
                </c:pt>
                <c:pt idx="22">
                  <c:v>8.8674512050967449E-4</c:v>
                </c:pt>
                <c:pt idx="23">
                  <c:v>6.6856838643904128E-4</c:v>
                </c:pt>
                <c:pt idx="24">
                  <c:v>1.3485344095696809E-3</c:v>
                </c:pt>
                <c:pt idx="25">
                  <c:v>2.293283262606847E-3</c:v>
                </c:pt>
                <c:pt idx="26">
                  <c:v>2.3073678601271018E-3</c:v>
                </c:pt>
                <c:pt idx="27">
                  <c:v>2.514745050836739E-3</c:v>
                </c:pt>
                <c:pt idx="28">
                  <c:v>1.8312125167015939E-3</c:v>
                </c:pt>
                <c:pt idx="29">
                  <c:v>6.7918058304918493E-4</c:v>
                </c:pt>
                <c:pt idx="30">
                  <c:v>0</c:v>
                </c:pt>
                <c:pt idx="31">
                  <c:v>5.765294418496208E-4</c:v>
                </c:pt>
                <c:pt idx="32">
                  <c:v>1.6790679077501426E-3</c:v>
                </c:pt>
                <c:pt idx="33">
                  <c:v>3.8110103391715126E-3</c:v>
                </c:pt>
                <c:pt idx="34">
                  <c:v>7.0055707565977606E-4</c:v>
                </c:pt>
                <c:pt idx="35">
                  <c:v>3.6265221665480142E-3</c:v>
                </c:pt>
                <c:pt idx="36">
                  <c:v>3.1103488791839134E-3</c:v>
                </c:pt>
                <c:pt idx="37">
                  <c:v>3.8167441670141204E-3</c:v>
                </c:pt>
                <c:pt idx="38">
                  <c:v>0</c:v>
                </c:pt>
                <c:pt idx="39">
                  <c:v>1.5927517773919541E-3</c:v>
                </c:pt>
                <c:pt idx="40">
                  <c:v>1.7480758487522742E-3</c:v>
                </c:pt>
                <c:pt idx="41">
                  <c:v>1.0105293284532167E-3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8.313754817476642E-4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CC-4823-B96D-0B7553E157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51744"/>
        <c:axId val="1099063712"/>
      </c:areaChart>
      <c:catAx>
        <c:axId val="109905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3712"/>
        <c:crosses val="autoZero"/>
        <c:auto val="1"/>
        <c:lblAlgn val="ctr"/>
        <c:lblOffset val="100"/>
        <c:noMultiLvlLbl val="0"/>
      </c:catAx>
      <c:valAx>
        <c:axId val="109906371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174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1'!$B$369:$B$416</c:f>
              <c:numCache>
                <c:formatCode>###0.0%</c:formatCode>
                <c:ptCount val="48"/>
                <c:pt idx="0">
                  <c:v>1.2065912253595261E-2</c:v>
                </c:pt>
                <c:pt idx="1">
                  <c:v>1.2468163041030092E-2</c:v>
                </c:pt>
                <c:pt idx="2">
                  <c:v>1.9873134251735688E-2</c:v>
                </c:pt>
                <c:pt idx="3">
                  <c:v>3.5644785132026548E-2</c:v>
                </c:pt>
                <c:pt idx="4">
                  <c:v>6.0834309594367128E-2</c:v>
                </c:pt>
                <c:pt idx="5">
                  <c:v>8.5137526141593423E-2</c:v>
                </c:pt>
                <c:pt idx="6">
                  <c:v>0.11291530039810135</c:v>
                </c:pt>
                <c:pt idx="7">
                  <c:v>0.13140910292390909</c:v>
                </c:pt>
                <c:pt idx="8">
                  <c:v>0.14708314776670273</c:v>
                </c:pt>
                <c:pt idx="9">
                  <c:v>0.17197023541393533</c:v>
                </c:pt>
                <c:pt idx="10">
                  <c:v>0.15678370541285422</c:v>
                </c:pt>
                <c:pt idx="11">
                  <c:v>0.17109817916858661</c:v>
                </c:pt>
                <c:pt idx="12">
                  <c:v>0.14926363171647469</c:v>
                </c:pt>
                <c:pt idx="13">
                  <c:v>0.18544400306914993</c:v>
                </c:pt>
                <c:pt idx="14">
                  <c:v>0.18530552522215543</c:v>
                </c:pt>
                <c:pt idx="15">
                  <c:v>0.19039494931346482</c:v>
                </c:pt>
                <c:pt idx="16">
                  <c:v>0.18789475854309817</c:v>
                </c:pt>
                <c:pt idx="17">
                  <c:v>0.19391014913094609</c:v>
                </c:pt>
                <c:pt idx="18">
                  <c:v>0.18418729707089784</c:v>
                </c:pt>
                <c:pt idx="19">
                  <c:v>0.18072010981336292</c:v>
                </c:pt>
                <c:pt idx="20">
                  <c:v>0.16775957679475342</c:v>
                </c:pt>
                <c:pt idx="21">
                  <c:v>0.1631314096969792</c:v>
                </c:pt>
                <c:pt idx="22">
                  <c:v>0.14354075918715631</c:v>
                </c:pt>
                <c:pt idx="23">
                  <c:v>0.12524430549256513</c:v>
                </c:pt>
                <c:pt idx="24">
                  <c:v>0.11815522104048154</c:v>
                </c:pt>
                <c:pt idx="25">
                  <c:v>0.11582370408912927</c:v>
                </c:pt>
                <c:pt idx="26">
                  <c:v>0.11461127436166393</c:v>
                </c:pt>
                <c:pt idx="27">
                  <c:v>0.11674741507639183</c:v>
                </c:pt>
                <c:pt idx="28">
                  <c:v>0.10396291221924266</c:v>
                </c:pt>
                <c:pt idx="29">
                  <c:v>9.8009874980253431E-2</c:v>
                </c:pt>
                <c:pt idx="30">
                  <c:v>7.0473419197607079E-2</c:v>
                </c:pt>
                <c:pt idx="31">
                  <c:v>5.9284872984075684E-2</c:v>
                </c:pt>
                <c:pt idx="32">
                  <c:v>3.4587894545096372E-2</c:v>
                </c:pt>
                <c:pt idx="33">
                  <c:v>4.296054312652911E-2</c:v>
                </c:pt>
                <c:pt idx="34">
                  <c:v>4.0875868050781639E-2</c:v>
                </c:pt>
                <c:pt idx="35">
                  <c:v>3.5890391756459E-2</c:v>
                </c:pt>
                <c:pt idx="36">
                  <c:v>3.5544985154008946E-2</c:v>
                </c:pt>
                <c:pt idx="37">
                  <c:v>2.8516651593851569E-2</c:v>
                </c:pt>
                <c:pt idx="38">
                  <c:v>1.9900911607754417E-2</c:v>
                </c:pt>
                <c:pt idx="39">
                  <c:v>1.9391000138593163E-2</c:v>
                </c:pt>
                <c:pt idx="40">
                  <c:v>1.9191115704042805E-2</c:v>
                </c:pt>
                <c:pt idx="41">
                  <c:v>1.4456527430545667E-2</c:v>
                </c:pt>
                <c:pt idx="42">
                  <c:v>9.3464780573583751E-3</c:v>
                </c:pt>
                <c:pt idx="43">
                  <c:v>9.2297420523845698E-3</c:v>
                </c:pt>
                <c:pt idx="44">
                  <c:v>9.2297420523845698E-3</c:v>
                </c:pt>
                <c:pt idx="45">
                  <c:v>8.9038142660458792E-3</c:v>
                </c:pt>
                <c:pt idx="46">
                  <c:v>8.9038142660458792E-3</c:v>
                </c:pt>
                <c:pt idx="47">
                  <c:v>1.0051055126257279E-2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69-4436-9934-8AE1BE41EB4A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1'!$C$369:$C$416</c:f>
              <c:numCache>
                <c:formatCode>###0.0%</c:formatCode>
                <c:ptCount val="48"/>
                <c:pt idx="0">
                  <c:v>8.0254816327530315E-4</c:v>
                </c:pt>
                <c:pt idx="1">
                  <c:v>3.0706515599798166E-3</c:v>
                </c:pt>
                <c:pt idx="2">
                  <c:v>4.7984405439255541E-3</c:v>
                </c:pt>
                <c:pt idx="3">
                  <c:v>8.5460748482246718E-3</c:v>
                </c:pt>
                <c:pt idx="4">
                  <c:v>1.5772075134340736E-2</c:v>
                </c:pt>
                <c:pt idx="5">
                  <c:v>3.6417308943628782E-2</c:v>
                </c:pt>
                <c:pt idx="6">
                  <c:v>4.948720276543199E-2</c:v>
                </c:pt>
                <c:pt idx="7">
                  <c:v>8.4698299346937858E-2</c:v>
                </c:pt>
                <c:pt idx="8">
                  <c:v>0.15246392566817321</c:v>
                </c:pt>
                <c:pt idx="9">
                  <c:v>0.18637698976352968</c:v>
                </c:pt>
                <c:pt idx="10">
                  <c:v>0.21872533194253962</c:v>
                </c:pt>
                <c:pt idx="11">
                  <c:v>0.23553845297945672</c:v>
                </c:pt>
                <c:pt idx="12">
                  <c:v>0.26660114797532153</c:v>
                </c:pt>
                <c:pt idx="13">
                  <c:v>0.2699843686411954</c:v>
                </c:pt>
                <c:pt idx="14">
                  <c:v>0.26779648844876774</c:v>
                </c:pt>
                <c:pt idx="15">
                  <c:v>0.25738189206244272</c:v>
                </c:pt>
                <c:pt idx="16">
                  <c:v>0.24015633080214815</c:v>
                </c:pt>
                <c:pt idx="17">
                  <c:v>0.22402390218977827</c:v>
                </c:pt>
                <c:pt idx="18">
                  <c:v>0.20339777913659135</c:v>
                </c:pt>
                <c:pt idx="19">
                  <c:v>0.20152500935070874</c:v>
                </c:pt>
                <c:pt idx="20">
                  <c:v>0.15902332217505857</c:v>
                </c:pt>
                <c:pt idx="21">
                  <c:v>0.1480178480253285</c:v>
                </c:pt>
                <c:pt idx="22">
                  <c:v>0.14405317395271722</c:v>
                </c:pt>
                <c:pt idx="23">
                  <c:v>0.12619437551678708</c:v>
                </c:pt>
                <c:pt idx="24">
                  <c:v>0.14197177639045019</c:v>
                </c:pt>
                <c:pt idx="25">
                  <c:v>0.13104628547073643</c:v>
                </c:pt>
                <c:pt idx="26">
                  <c:v>0.1390122725464325</c:v>
                </c:pt>
                <c:pt idx="27">
                  <c:v>0.14230069088645772</c:v>
                </c:pt>
                <c:pt idx="28">
                  <c:v>0.15292819286205345</c:v>
                </c:pt>
                <c:pt idx="29">
                  <c:v>0.13774891187751634</c:v>
                </c:pt>
                <c:pt idx="30">
                  <c:v>0.10605390124616861</c:v>
                </c:pt>
                <c:pt idx="31">
                  <c:v>8.9433238071820076E-2</c:v>
                </c:pt>
                <c:pt idx="32">
                  <c:v>6.6904668273491674E-2</c:v>
                </c:pt>
                <c:pt idx="33">
                  <c:v>4.6313083440522498E-2</c:v>
                </c:pt>
                <c:pt idx="34">
                  <c:v>3.999611193429789E-2</c:v>
                </c:pt>
                <c:pt idx="35">
                  <c:v>2.4814181125458259E-2</c:v>
                </c:pt>
                <c:pt idx="36">
                  <c:v>1.839903660658081E-2</c:v>
                </c:pt>
                <c:pt idx="37">
                  <c:v>7.6111735294624693E-3</c:v>
                </c:pt>
                <c:pt idx="38">
                  <c:v>6.5896345425318663E-3</c:v>
                </c:pt>
                <c:pt idx="39">
                  <c:v>2.1632889777701407E-3</c:v>
                </c:pt>
                <c:pt idx="40">
                  <c:v>3.2186445826902304E-3</c:v>
                </c:pt>
                <c:pt idx="41">
                  <c:v>0</c:v>
                </c:pt>
                <c:pt idx="42">
                  <c:v>1.4738449483703432E-3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069-4436-9934-8AE1BE41EB4A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1'!$D$369:$D$416</c:f>
              <c:numCache>
                <c:formatCode>###0.0%</c:formatCode>
                <c:ptCount val="48"/>
                <c:pt idx="0">
                  <c:v>4.9413941588259615E-4</c:v>
                </c:pt>
                <c:pt idx="1">
                  <c:v>2.5697237022892531E-3</c:v>
                </c:pt>
                <c:pt idx="2">
                  <c:v>1.6783362897994287E-3</c:v>
                </c:pt>
                <c:pt idx="3">
                  <c:v>1.4650624173068026E-2</c:v>
                </c:pt>
                <c:pt idx="4">
                  <c:v>1.1484021269953754E-2</c:v>
                </c:pt>
                <c:pt idx="5">
                  <c:v>3.5516268636375012E-2</c:v>
                </c:pt>
                <c:pt idx="6">
                  <c:v>6.4647273953230167E-2</c:v>
                </c:pt>
                <c:pt idx="7">
                  <c:v>0.13842745325050251</c:v>
                </c:pt>
                <c:pt idx="8">
                  <c:v>0.16688274875013259</c:v>
                </c:pt>
                <c:pt idx="9">
                  <c:v>0.1889481168387947</c:v>
                </c:pt>
                <c:pt idx="10">
                  <c:v>0.20140819230948448</c:v>
                </c:pt>
                <c:pt idx="11">
                  <c:v>0.2060865429197197</c:v>
                </c:pt>
                <c:pt idx="12">
                  <c:v>0.17995116706605721</c:v>
                </c:pt>
                <c:pt idx="13">
                  <c:v>0.16659896682091657</c:v>
                </c:pt>
                <c:pt idx="14">
                  <c:v>9.9340092283597234E-2</c:v>
                </c:pt>
                <c:pt idx="15">
                  <c:v>8.3961636260282177E-2</c:v>
                </c:pt>
                <c:pt idx="16">
                  <c:v>9.3006801031223288E-2</c:v>
                </c:pt>
                <c:pt idx="17">
                  <c:v>9.8159471081993535E-2</c:v>
                </c:pt>
                <c:pt idx="18">
                  <c:v>0.14384522754286927</c:v>
                </c:pt>
                <c:pt idx="19">
                  <c:v>0.13081134675287071</c:v>
                </c:pt>
                <c:pt idx="20">
                  <c:v>0.19460586920241024</c:v>
                </c:pt>
                <c:pt idx="21">
                  <c:v>0.22103377630214985</c:v>
                </c:pt>
                <c:pt idx="22">
                  <c:v>0.24722764982217649</c:v>
                </c:pt>
                <c:pt idx="23">
                  <c:v>0.21425202504787871</c:v>
                </c:pt>
                <c:pt idx="24">
                  <c:v>0.14707457989952746</c:v>
                </c:pt>
                <c:pt idx="25">
                  <c:v>0.15280620067826445</c:v>
                </c:pt>
                <c:pt idx="26">
                  <c:v>0.12112530733373732</c:v>
                </c:pt>
                <c:pt idx="27">
                  <c:v>0.11717863092217624</c:v>
                </c:pt>
                <c:pt idx="28">
                  <c:v>0.10627891549275217</c:v>
                </c:pt>
                <c:pt idx="29">
                  <c:v>9.9562934157867836E-2</c:v>
                </c:pt>
                <c:pt idx="30">
                  <c:v>0.16310988647996846</c:v>
                </c:pt>
                <c:pt idx="31">
                  <c:v>0.15501419652751833</c:v>
                </c:pt>
                <c:pt idx="32">
                  <c:v>0.16904012120824777</c:v>
                </c:pt>
                <c:pt idx="33">
                  <c:v>0.12763087712921342</c:v>
                </c:pt>
                <c:pt idx="34">
                  <c:v>7.3505997889987018E-2</c:v>
                </c:pt>
                <c:pt idx="35">
                  <c:v>3.5828833453562352E-2</c:v>
                </c:pt>
                <c:pt idx="36">
                  <c:v>2.376591410459104E-2</c:v>
                </c:pt>
                <c:pt idx="37">
                  <c:v>2.2114286882222955E-2</c:v>
                </c:pt>
                <c:pt idx="38">
                  <c:v>1.1144653868231562E-2</c:v>
                </c:pt>
                <c:pt idx="39">
                  <c:v>4.0889001631273358E-3</c:v>
                </c:pt>
                <c:pt idx="40">
                  <c:v>1.754903277813974E-3</c:v>
                </c:pt>
                <c:pt idx="41">
                  <c:v>9.4526199447193511E-4</c:v>
                </c:pt>
                <c:pt idx="42">
                  <c:v>1.2813638813518164E-3</c:v>
                </c:pt>
                <c:pt idx="43">
                  <c:v>9.0633619478528067E-4</c:v>
                </c:pt>
                <c:pt idx="44">
                  <c:v>5.7545988607250048E-4</c:v>
                </c:pt>
                <c:pt idx="45">
                  <c:v>5.7545988607250048E-4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069-4436-9934-8AE1BE41EB4A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1'!$E$369:$E$416</c:f>
              <c:numCache>
                <c:formatCode>###0.0%</c:formatCode>
                <c:ptCount val="48"/>
                <c:pt idx="0">
                  <c:v>0.98577343357205716</c:v>
                </c:pt>
                <c:pt idx="1">
                  <c:v>0.98101812457719328</c:v>
                </c:pt>
                <c:pt idx="2">
                  <c:v>0.96826060241838663</c:v>
                </c:pt>
                <c:pt idx="3">
                  <c:v>0.93250358899186214</c:v>
                </c:pt>
                <c:pt idx="4">
                  <c:v>0.89883422218397291</c:v>
                </c:pt>
                <c:pt idx="5">
                  <c:v>0.82683053649766913</c:v>
                </c:pt>
                <c:pt idx="6">
                  <c:v>0.74216996272214841</c:v>
                </c:pt>
                <c:pt idx="7">
                  <c:v>0.60205899808852059</c:v>
                </c:pt>
                <c:pt idx="8">
                  <c:v>0.46395350469037266</c:v>
                </c:pt>
                <c:pt idx="9">
                  <c:v>0.33889627258069732</c:v>
                </c:pt>
                <c:pt idx="10">
                  <c:v>0.27447793559563477</c:v>
                </c:pt>
                <c:pt idx="11">
                  <c:v>0.19341843951227741</c:v>
                </c:pt>
                <c:pt idx="12">
                  <c:v>0.16004505585978457</c:v>
                </c:pt>
                <c:pt idx="13">
                  <c:v>7.9174137567917732E-2</c:v>
                </c:pt>
                <c:pt idx="14">
                  <c:v>7.581174631918923E-2</c:v>
                </c:pt>
                <c:pt idx="15">
                  <c:v>5.7326794618638405E-2</c:v>
                </c:pt>
                <c:pt idx="16">
                  <c:v>4.8126183445561604E-2</c:v>
                </c:pt>
                <c:pt idx="17">
                  <c:v>4.0581483548733956E-2</c:v>
                </c:pt>
                <c:pt idx="18">
                  <c:v>5.190878909965347E-2</c:v>
                </c:pt>
                <c:pt idx="19">
                  <c:v>4.638544013549608E-2</c:v>
                </c:pt>
                <c:pt idx="20">
                  <c:v>4.7909359463935451E-2</c:v>
                </c:pt>
                <c:pt idx="21">
                  <c:v>5.6242152451835573E-2</c:v>
                </c:pt>
                <c:pt idx="22">
                  <c:v>5.5930157130155596E-2</c:v>
                </c:pt>
                <c:pt idx="23">
                  <c:v>6.3984202673213475E-2</c:v>
                </c:pt>
                <c:pt idx="24">
                  <c:v>7.3656080127428997E-2</c:v>
                </c:pt>
                <c:pt idx="25">
                  <c:v>6.3905909066098457E-2</c:v>
                </c:pt>
                <c:pt idx="26">
                  <c:v>6.0564585675361188E-2</c:v>
                </c:pt>
                <c:pt idx="27">
                  <c:v>4.7340609405347463E-2</c:v>
                </c:pt>
                <c:pt idx="28">
                  <c:v>5.1056783983360124E-2</c:v>
                </c:pt>
                <c:pt idx="29">
                  <c:v>4.6975836501742994E-2</c:v>
                </c:pt>
                <c:pt idx="30">
                  <c:v>5.4259150001532974E-2</c:v>
                </c:pt>
                <c:pt idx="31">
                  <c:v>5.0466200928192068E-2</c:v>
                </c:pt>
                <c:pt idx="32">
                  <c:v>5.760037014856563E-2</c:v>
                </c:pt>
                <c:pt idx="33">
                  <c:v>4.7346010004442177E-2</c:v>
                </c:pt>
                <c:pt idx="34">
                  <c:v>0.12230585160257469</c:v>
                </c:pt>
                <c:pt idx="35">
                  <c:v>0.15205895094305663</c:v>
                </c:pt>
                <c:pt idx="36">
                  <c:v>0.39606652898040828</c:v>
                </c:pt>
                <c:pt idx="37">
                  <c:v>0.47328076241251632</c:v>
                </c:pt>
                <c:pt idx="38">
                  <c:v>0.66062892052086819</c:v>
                </c:pt>
                <c:pt idx="39">
                  <c:v>0.77247800542833867</c:v>
                </c:pt>
                <c:pt idx="40">
                  <c:v>0.87144215679750492</c:v>
                </c:pt>
                <c:pt idx="41">
                  <c:v>0.90313506509392671</c:v>
                </c:pt>
                <c:pt idx="42">
                  <c:v>0.96669723677563579</c:v>
                </c:pt>
                <c:pt idx="43">
                  <c:v>0.9726120286357629</c:v>
                </c:pt>
                <c:pt idx="44">
                  <c:v>0.98377303645297287</c:v>
                </c:pt>
                <c:pt idx="45">
                  <c:v>0.98545382650090541</c:v>
                </c:pt>
                <c:pt idx="46">
                  <c:v>0.98873895232337328</c:v>
                </c:pt>
                <c:pt idx="47">
                  <c:v>0.98879479532511116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069-4436-9934-8AE1BE41EB4A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1'!$F$369:$F$416</c:f>
              <c:numCache>
                <c:formatCode>###0.0%</c:formatCode>
                <c:ptCount val="48"/>
                <c:pt idx="0">
                  <c:v>8.6396659518964104E-4</c:v>
                </c:pt>
                <c:pt idx="1">
                  <c:v>8.7333711950745229E-4</c:v>
                </c:pt>
                <c:pt idx="2">
                  <c:v>5.0866660697718594E-3</c:v>
                </c:pt>
                <c:pt idx="3">
                  <c:v>7.4461311704260846E-3</c:v>
                </c:pt>
                <c:pt idx="4">
                  <c:v>9.044293058280509E-3</c:v>
                </c:pt>
                <c:pt idx="5">
                  <c:v>8.9860635496336397E-3</c:v>
                </c:pt>
                <c:pt idx="6">
                  <c:v>1.8114015728811297E-2</c:v>
                </c:pt>
                <c:pt idx="7">
                  <c:v>2.4780536624942597E-2</c:v>
                </c:pt>
                <c:pt idx="8">
                  <c:v>3.6593636058440383E-2</c:v>
                </c:pt>
                <c:pt idx="9">
                  <c:v>6.9619347275623675E-2</c:v>
                </c:pt>
                <c:pt idx="10">
                  <c:v>9.6784121834119829E-2</c:v>
                </c:pt>
                <c:pt idx="11">
                  <c:v>0.13551884834676367</c:v>
                </c:pt>
                <c:pt idx="12">
                  <c:v>0.17912588541412638</c:v>
                </c:pt>
                <c:pt idx="13">
                  <c:v>0.22557683468609027</c:v>
                </c:pt>
                <c:pt idx="14">
                  <c:v>0.28388246430372294</c:v>
                </c:pt>
                <c:pt idx="15">
                  <c:v>0.32277001350560025</c:v>
                </c:pt>
                <c:pt idx="16">
                  <c:v>0.34098243426784836</c:v>
                </c:pt>
                <c:pt idx="17">
                  <c:v>0.35408349941945505</c:v>
                </c:pt>
                <c:pt idx="18">
                  <c:v>0.34593413049602789</c:v>
                </c:pt>
                <c:pt idx="19">
                  <c:v>0.35983727493752665</c:v>
                </c:pt>
                <c:pt idx="20">
                  <c:v>0.35399443783147305</c:v>
                </c:pt>
                <c:pt idx="21">
                  <c:v>0.33644190529546791</c:v>
                </c:pt>
                <c:pt idx="22">
                  <c:v>0.33065114271251195</c:v>
                </c:pt>
                <c:pt idx="23">
                  <c:v>0.38045129425061908</c:v>
                </c:pt>
                <c:pt idx="24">
                  <c:v>0.40176539814563733</c:v>
                </c:pt>
                <c:pt idx="25">
                  <c:v>0.40646793401361003</c:v>
                </c:pt>
                <c:pt idx="26">
                  <c:v>0.41247791780919735</c:v>
                </c:pt>
                <c:pt idx="27">
                  <c:v>0.41850549132015208</c:v>
                </c:pt>
                <c:pt idx="28">
                  <c:v>0.41533173506005655</c:v>
                </c:pt>
                <c:pt idx="29">
                  <c:v>0.4131812050339862</c:v>
                </c:pt>
                <c:pt idx="30">
                  <c:v>0.31425810909722884</c:v>
                </c:pt>
                <c:pt idx="31">
                  <c:v>0.3008835099534366</c:v>
                </c:pt>
                <c:pt idx="32">
                  <c:v>0.28643447567998881</c:v>
                </c:pt>
                <c:pt idx="33">
                  <c:v>0.27006179499809435</c:v>
                </c:pt>
                <c:pt idx="34">
                  <c:v>0.22835755786615297</c:v>
                </c:pt>
                <c:pt idx="35">
                  <c:v>0.2241533392661442</c:v>
                </c:pt>
                <c:pt idx="36">
                  <c:v>0.18746640899937994</c:v>
                </c:pt>
                <c:pt idx="37">
                  <c:v>0.18109883194300522</c:v>
                </c:pt>
                <c:pt idx="38">
                  <c:v>0.14449457523977408</c:v>
                </c:pt>
                <c:pt idx="39">
                  <c:v>9.7032093965623997E-2</c:v>
                </c:pt>
                <c:pt idx="40">
                  <c:v>5.7093101848380748E-2</c:v>
                </c:pt>
                <c:pt idx="41">
                  <c:v>3.9183515137811202E-2</c:v>
                </c:pt>
                <c:pt idx="42">
                  <c:v>1.0476368103627398E-2</c:v>
                </c:pt>
                <c:pt idx="43">
                  <c:v>7.811451080344132E-3</c:v>
                </c:pt>
                <c:pt idx="44">
                  <c:v>4.1279909945046425E-3</c:v>
                </c:pt>
                <c:pt idx="45">
                  <c:v>3.6909263501263955E-3</c:v>
                </c:pt>
                <c:pt idx="46">
                  <c:v>1.9150372720239124E-3</c:v>
                </c:pt>
                <c:pt idx="47">
                  <c:v>1.1541495486316923E-3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69-4436-9934-8AE1BE41EB4A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1'!$G$369:$G$416</c:f>
              <c:numCache>
                <c:formatCode>###0.0%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3.0282042638092853E-4</c:v>
                </c:pt>
                <c:pt idx="3">
                  <c:v>1.208795684392402E-3</c:v>
                </c:pt>
                <c:pt idx="4">
                  <c:v>1.7432779643300499E-3</c:v>
                </c:pt>
                <c:pt idx="5">
                  <c:v>4.167691341294133E-3</c:v>
                </c:pt>
                <c:pt idx="6">
                  <c:v>1.1949035045319599E-2</c:v>
                </c:pt>
                <c:pt idx="7">
                  <c:v>1.5630581224748079E-2</c:v>
                </c:pt>
                <c:pt idx="8">
                  <c:v>2.886983553166831E-2</c:v>
                </c:pt>
                <c:pt idx="9">
                  <c:v>3.7933625284818966E-2</c:v>
                </c:pt>
                <c:pt idx="10">
                  <c:v>4.3054584580333372E-2</c:v>
                </c:pt>
                <c:pt idx="11">
                  <c:v>5.0005809533702872E-2</c:v>
                </c:pt>
                <c:pt idx="12">
                  <c:v>5.333220783384611E-2</c:v>
                </c:pt>
                <c:pt idx="13">
                  <c:v>6.412194793778167E-2</c:v>
                </c:pt>
                <c:pt idx="14">
                  <c:v>7.8644903582555992E-2</c:v>
                </c:pt>
                <c:pt idx="15">
                  <c:v>8.1147063543975259E-2</c:v>
                </c:pt>
                <c:pt idx="16">
                  <c:v>8.5420416536824806E-2</c:v>
                </c:pt>
                <c:pt idx="17">
                  <c:v>8.6023311525169732E-2</c:v>
                </c:pt>
                <c:pt idx="18">
                  <c:v>6.9128539100607317E-2</c:v>
                </c:pt>
                <c:pt idx="19">
                  <c:v>7.9759890276352649E-2</c:v>
                </c:pt>
                <c:pt idx="20">
                  <c:v>7.0356602443260557E-2</c:v>
                </c:pt>
                <c:pt idx="21">
                  <c:v>7.1446130175760431E-2</c:v>
                </c:pt>
                <c:pt idx="22">
                  <c:v>7.5313060512105359E-2</c:v>
                </c:pt>
                <c:pt idx="23">
                  <c:v>8.2226315363526065E-2</c:v>
                </c:pt>
                <c:pt idx="24">
                  <c:v>0.11031777985967155</c:v>
                </c:pt>
                <c:pt idx="25">
                  <c:v>0.12290148901878802</c:v>
                </c:pt>
                <c:pt idx="26">
                  <c:v>0.14465297623599141</c:v>
                </c:pt>
                <c:pt idx="27">
                  <c:v>0.15485640318965624</c:v>
                </c:pt>
                <c:pt idx="28">
                  <c:v>0.16229653265713481</c:v>
                </c:pt>
                <c:pt idx="29">
                  <c:v>0.19156636004436911</c:v>
                </c:pt>
                <c:pt idx="30">
                  <c:v>0.27626385499035699</c:v>
                </c:pt>
                <c:pt idx="31">
                  <c:v>0.33498321909990614</c:v>
                </c:pt>
                <c:pt idx="32">
                  <c:v>0.37732070636975545</c:v>
                </c:pt>
                <c:pt idx="33">
                  <c:v>0.45599339048454418</c:v>
                </c:pt>
                <c:pt idx="34">
                  <c:v>0.48510752982012023</c:v>
                </c:pt>
                <c:pt idx="35">
                  <c:v>0.51840460214986006</c:v>
                </c:pt>
                <c:pt idx="36">
                  <c:v>0.32980380739287296</c:v>
                </c:pt>
                <c:pt idx="37">
                  <c:v>0.28342471034360484</c:v>
                </c:pt>
                <c:pt idx="38">
                  <c:v>0.15628969224485509</c:v>
                </c:pt>
                <c:pt idx="39">
                  <c:v>9.9527637237351613E-2</c:v>
                </c:pt>
                <c:pt idx="40">
                  <c:v>4.7300077789568393E-2</c:v>
                </c:pt>
                <c:pt idx="41">
                  <c:v>3.94861619685846E-2</c:v>
                </c:pt>
                <c:pt idx="42">
                  <c:v>9.3423017476968514E-3</c:v>
                </c:pt>
                <c:pt idx="43">
                  <c:v>8.0580355507636342E-3</c:v>
                </c:pt>
                <c:pt idx="44">
                  <c:v>2.2937706140654895E-3</c:v>
                </c:pt>
                <c:pt idx="45">
                  <c:v>1.3759729968496899E-3</c:v>
                </c:pt>
                <c:pt idx="46">
                  <c:v>4.4219613855701087E-4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069-4436-9934-8AE1BE41EB4A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1'!$A$369:$A$416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1'!$H$369:$H$416</c:f>
              <c:numCache>
                <c:formatCode>###0.0%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2.2878007947548986E-3</c:v>
                </c:pt>
                <c:pt idx="5">
                  <c:v>2.9446048898063683E-3</c:v>
                </c:pt>
                <c:pt idx="6">
                  <c:v>7.1720938695997969E-4</c:v>
                </c:pt>
                <c:pt idx="7">
                  <c:v>2.9950285404457262E-3</c:v>
                </c:pt>
                <c:pt idx="8">
                  <c:v>4.1532015345169589E-3</c:v>
                </c:pt>
                <c:pt idx="9">
                  <c:v>6.2554128426066113E-3</c:v>
                </c:pt>
                <c:pt idx="10">
                  <c:v>8.7661283250394812E-3</c:v>
                </c:pt>
                <c:pt idx="11">
                  <c:v>8.333727539498988E-3</c:v>
                </c:pt>
                <c:pt idx="12">
                  <c:v>1.1680904134395723E-2</c:v>
                </c:pt>
                <c:pt idx="13">
                  <c:v>9.099741276954702E-3</c:v>
                </c:pt>
                <c:pt idx="14">
                  <c:v>9.2187798400175276E-3</c:v>
                </c:pt>
                <c:pt idx="15">
                  <c:v>7.01765069560213E-3</c:v>
                </c:pt>
                <c:pt idx="16">
                  <c:v>4.4130753733016949E-3</c:v>
                </c:pt>
                <c:pt idx="17">
                  <c:v>3.2181831039292713E-3</c:v>
                </c:pt>
                <c:pt idx="18">
                  <c:v>1.5982375533591254E-3</c:v>
                </c:pt>
                <c:pt idx="19">
                  <c:v>9.6092873368876361E-4</c:v>
                </c:pt>
                <c:pt idx="20">
                  <c:v>6.3508320891149791E-3</c:v>
                </c:pt>
                <c:pt idx="21">
                  <c:v>3.686778052484675E-3</c:v>
                </c:pt>
                <c:pt idx="22">
                  <c:v>3.2840566831834651E-3</c:v>
                </c:pt>
                <c:pt idx="23">
                  <c:v>7.6474816554163794E-3</c:v>
                </c:pt>
                <c:pt idx="24">
                  <c:v>7.0591645368094048E-3</c:v>
                </c:pt>
                <c:pt idx="25">
                  <c:v>7.0484776633796742E-3</c:v>
                </c:pt>
                <c:pt idx="26">
                  <c:v>7.555666037622942E-3</c:v>
                </c:pt>
                <c:pt idx="27">
                  <c:v>3.0707591998248057E-3</c:v>
                </c:pt>
                <c:pt idx="28">
                  <c:v>8.1449277254070258E-3</c:v>
                </c:pt>
                <c:pt idx="29">
                  <c:v>1.2954877404270594E-2</c:v>
                </c:pt>
                <c:pt idx="30">
                  <c:v>1.558167898714341E-2</c:v>
                </c:pt>
                <c:pt idx="31">
                  <c:v>9.9347624350576598E-3</c:v>
                </c:pt>
                <c:pt idx="32">
                  <c:v>8.1117637748604112E-3</c:v>
                </c:pt>
                <c:pt idx="33">
                  <c:v>9.6943008166596005E-3</c:v>
                </c:pt>
                <c:pt idx="34">
                  <c:v>9.8510828360911951E-3</c:v>
                </c:pt>
                <c:pt idx="35">
                  <c:v>8.8497013054654409E-3</c:v>
                </c:pt>
                <c:pt idx="36">
                  <c:v>8.9533187621641478E-3</c:v>
                </c:pt>
                <c:pt idx="37">
                  <c:v>3.9535832953417997E-3</c:v>
                </c:pt>
                <c:pt idx="38">
                  <c:v>9.5161197598959805E-4</c:v>
                </c:pt>
                <c:pt idx="39">
                  <c:v>5.3190740891978592E-3</c:v>
                </c:pt>
                <c:pt idx="40">
                  <c:v>0</c:v>
                </c:pt>
                <c:pt idx="41">
                  <c:v>2.7934683746607706E-3</c:v>
                </c:pt>
                <c:pt idx="42">
                  <c:v>1.3824064859594665E-3</c:v>
                </c:pt>
                <c:pt idx="43">
                  <c:v>1.3824064859594665E-3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069-4436-9934-8AE1BE41EB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62080"/>
        <c:axId val="1099063168"/>
      </c:areaChart>
      <c:catAx>
        <c:axId val="1099062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3168"/>
        <c:crosses val="autoZero"/>
        <c:auto val="1"/>
        <c:lblAlgn val="ctr"/>
        <c:lblOffset val="100"/>
        <c:noMultiLvlLbl val="0"/>
      </c:catAx>
      <c:valAx>
        <c:axId val="10990631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20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1'!$B$421:$B$468</c:f>
              <c:numCache>
                <c:formatCode>###0.0%</c:formatCode>
                <c:ptCount val="48"/>
                <c:pt idx="0">
                  <c:v>3.3589775119316854E-3</c:v>
                </c:pt>
                <c:pt idx="1">
                  <c:v>5.0217284754270012E-3</c:v>
                </c:pt>
                <c:pt idx="2">
                  <c:v>1.0456875810777927E-2</c:v>
                </c:pt>
                <c:pt idx="3">
                  <c:v>2.3562798438816149E-2</c:v>
                </c:pt>
                <c:pt idx="4">
                  <c:v>3.3688102799958111E-2</c:v>
                </c:pt>
                <c:pt idx="5">
                  <c:v>4.2025582883824603E-2</c:v>
                </c:pt>
                <c:pt idx="6">
                  <c:v>5.5508069752976619E-2</c:v>
                </c:pt>
                <c:pt idx="7">
                  <c:v>6.2116961245021141E-2</c:v>
                </c:pt>
                <c:pt idx="8">
                  <c:v>7.6737586300229393E-2</c:v>
                </c:pt>
                <c:pt idx="9">
                  <c:v>8.2931228486562827E-2</c:v>
                </c:pt>
                <c:pt idx="10">
                  <c:v>8.3844608472093768E-2</c:v>
                </c:pt>
                <c:pt idx="11">
                  <c:v>8.8506641666824717E-2</c:v>
                </c:pt>
                <c:pt idx="12">
                  <c:v>7.6720135973173412E-2</c:v>
                </c:pt>
                <c:pt idx="13">
                  <c:v>9.3282099914277411E-2</c:v>
                </c:pt>
                <c:pt idx="14">
                  <c:v>0.10774912450432064</c:v>
                </c:pt>
                <c:pt idx="15">
                  <c:v>0.11811871845425247</c:v>
                </c:pt>
                <c:pt idx="16">
                  <c:v>9.9783230601535669E-2</c:v>
                </c:pt>
                <c:pt idx="17">
                  <c:v>0.11959253064486658</c:v>
                </c:pt>
                <c:pt idx="18">
                  <c:v>0.11187279906802658</c:v>
                </c:pt>
                <c:pt idx="19">
                  <c:v>0.11482743029570532</c:v>
                </c:pt>
                <c:pt idx="20">
                  <c:v>0.10889268372175978</c:v>
                </c:pt>
                <c:pt idx="21">
                  <c:v>9.5658483154655916E-2</c:v>
                </c:pt>
                <c:pt idx="22">
                  <c:v>8.2462944248232153E-2</c:v>
                </c:pt>
                <c:pt idx="23">
                  <c:v>5.8261315364824269E-2</c:v>
                </c:pt>
                <c:pt idx="24">
                  <c:v>5.1666339559817101E-2</c:v>
                </c:pt>
                <c:pt idx="25">
                  <c:v>4.6436739608011805E-2</c:v>
                </c:pt>
                <c:pt idx="26">
                  <c:v>5.7819078876463245E-2</c:v>
                </c:pt>
                <c:pt idx="27">
                  <c:v>6.2982122390122908E-2</c:v>
                </c:pt>
                <c:pt idx="28">
                  <c:v>5.955449066726206E-2</c:v>
                </c:pt>
                <c:pt idx="29">
                  <c:v>6.1393874979672525E-2</c:v>
                </c:pt>
                <c:pt idx="30">
                  <c:v>5.1514296460235733E-2</c:v>
                </c:pt>
                <c:pt idx="31">
                  <c:v>3.3332453794888223E-2</c:v>
                </c:pt>
                <c:pt idx="32">
                  <c:v>2.6113166708459132E-2</c:v>
                </c:pt>
                <c:pt idx="33">
                  <c:v>2.3038631242795194E-2</c:v>
                </c:pt>
                <c:pt idx="34">
                  <c:v>2.172058324821613E-2</c:v>
                </c:pt>
                <c:pt idx="35">
                  <c:v>2.383696063462894E-2</c:v>
                </c:pt>
                <c:pt idx="36">
                  <c:v>1.8922992039275409E-2</c:v>
                </c:pt>
                <c:pt idx="37">
                  <c:v>1.4425651222839016E-2</c:v>
                </c:pt>
                <c:pt idx="38">
                  <c:v>1.3334861625720795E-2</c:v>
                </c:pt>
                <c:pt idx="39">
                  <c:v>8.9260472891648634E-3</c:v>
                </c:pt>
                <c:pt idx="40">
                  <c:v>5.6363737051607328E-3</c:v>
                </c:pt>
                <c:pt idx="41">
                  <c:v>3.5410691670936588E-3</c:v>
                </c:pt>
                <c:pt idx="42">
                  <c:v>2.3350974723984875E-3</c:v>
                </c:pt>
                <c:pt idx="43">
                  <c:v>2.3350974723984875E-3</c:v>
                </c:pt>
                <c:pt idx="44">
                  <c:v>1.0105293284532087E-3</c:v>
                </c:pt>
                <c:pt idx="45">
                  <c:v>1.0105293284532087E-3</c:v>
                </c:pt>
                <c:pt idx="46">
                  <c:v>1.0105293284532087E-3</c:v>
                </c:pt>
                <c:pt idx="47">
                  <c:v>1.0105293284532087E-3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0-46E8-A70C-EEC00E31A2E8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1'!$C$421:$C$468</c:f>
              <c:numCache>
                <c:formatCode>###0.0%</c:formatCode>
                <c:ptCount val="48"/>
                <c:pt idx="0">
                  <c:v>1.5317191120146059E-3</c:v>
                </c:pt>
                <c:pt idx="1">
                  <c:v>2.5416211574706051E-3</c:v>
                </c:pt>
                <c:pt idx="2">
                  <c:v>9.0239412821060041E-3</c:v>
                </c:pt>
                <c:pt idx="3">
                  <c:v>8.1732155981303969E-3</c:v>
                </c:pt>
                <c:pt idx="4">
                  <c:v>2.2417273507409286E-2</c:v>
                </c:pt>
                <c:pt idx="5">
                  <c:v>4.1218025033891062E-2</c:v>
                </c:pt>
                <c:pt idx="6">
                  <c:v>7.6648183083652455E-2</c:v>
                </c:pt>
                <c:pt idx="7">
                  <c:v>0.16912119733423997</c:v>
                </c:pt>
                <c:pt idx="8">
                  <c:v>0.23100177252668291</c:v>
                </c:pt>
                <c:pt idx="9">
                  <c:v>0.29040728759053008</c:v>
                </c:pt>
                <c:pt idx="10">
                  <c:v>0.35005774775246662</c:v>
                </c:pt>
                <c:pt idx="11">
                  <c:v>0.38910141784742075</c:v>
                </c:pt>
                <c:pt idx="12">
                  <c:v>0.45913264940501258</c:v>
                </c:pt>
                <c:pt idx="13">
                  <c:v>0.47055548176293643</c:v>
                </c:pt>
                <c:pt idx="14">
                  <c:v>0.48580543364547124</c:v>
                </c:pt>
                <c:pt idx="15">
                  <c:v>0.4863625625407319</c:v>
                </c:pt>
                <c:pt idx="16">
                  <c:v>0.45396869555881458</c:v>
                </c:pt>
                <c:pt idx="17">
                  <c:v>0.4513953184697963</c:v>
                </c:pt>
                <c:pt idx="18">
                  <c:v>0.4104369369281371</c:v>
                </c:pt>
                <c:pt idx="19">
                  <c:v>0.4124741801604801</c:v>
                </c:pt>
                <c:pt idx="20">
                  <c:v>0.36437015225821034</c:v>
                </c:pt>
                <c:pt idx="21">
                  <c:v>0.32384425677319872</c:v>
                </c:pt>
                <c:pt idx="22">
                  <c:v>0.25744987973370814</c:v>
                </c:pt>
                <c:pt idx="23">
                  <c:v>0.23314627450424324</c:v>
                </c:pt>
                <c:pt idx="24">
                  <c:v>0.2409908976004973</c:v>
                </c:pt>
                <c:pt idx="25">
                  <c:v>0.20535923243212045</c:v>
                </c:pt>
                <c:pt idx="26">
                  <c:v>0.21798246586553524</c:v>
                </c:pt>
                <c:pt idx="27">
                  <c:v>0.22295093623945231</c:v>
                </c:pt>
                <c:pt idx="28">
                  <c:v>0.23881611167072786</c:v>
                </c:pt>
                <c:pt idx="29">
                  <c:v>0.23351550903275464</c:v>
                </c:pt>
                <c:pt idx="30">
                  <c:v>0.2121454362543812</c:v>
                </c:pt>
                <c:pt idx="31">
                  <c:v>0.21007513207092418</c:v>
                </c:pt>
                <c:pt idx="32">
                  <c:v>0.17762854641121106</c:v>
                </c:pt>
                <c:pt idx="33">
                  <c:v>0.16613297565686838</c:v>
                </c:pt>
                <c:pt idx="34">
                  <c:v>0.12252988518378638</c:v>
                </c:pt>
                <c:pt idx="35">
                  <c:v>8.2606588082809379E-2</c:v>
                </c:pt>
                <c:pt idx="36">
                  <c:v>6.8936951004600788E-2</c:v>
                </c:pt>
                <c:pt idx="37">
                  <c:v>3.8785581931183991E-2</c:v>
                </c:pt>
                <c:pt idx="38">
                  <c:v>1.8748933508142284E-2</c:v>
                </c:pt>
                <c:pt idx="39">
                  <c:v>1.2313969283970282E-2</c:v>
                </c:pt>
                <c:pt idx="40">
                  <c:v>4.6319328983613992E-3</c:v>
                </c:pt>
                <c:pt idx="41">
                  <c:v>4.4380992587406843E-3</c:v>
                </c:pt>
                <c:pt idx="42">
                  <c:v>2.679647687865563E-3</c:v>
                </c:pt>
                <c:pt idx="43">
                  <c:v>4.5688127430087103E-3</c:v>
                </c:pt>
                <c:pt idx="44">
                  <c:v>1.9694062471049874E-3</c:v>
                </c:pt>
                <c:pt idx="45">
                  <c:v>1.3063049333067269E-3</c:v>
                </c:pt>
                <c:pt idx="46">
                  <c:v>2.6223876042951694E-3</c:v>
                </c:pt>
                <c:pt idx="47">
                  <c:v>1.9931174353950819E-3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3F0-46E8-A70C-EEC00E31A2E8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1'!$D$421:$D$468</c:f>
              <c:numCache>
                <c:formatCode>###0.0%</c:formatCode>
                <c:ptCount val="48"/>
                <c:pt idx="0">
                  <c:v>0</c:v>
                </c:pt>
                <c:pt idx="1">
                  <c:v>5.4040052584049486E-4</c:v>
                </c:pt>
                <c:pt idx="2">
                  <c:v>2.3128229966070532E-4</c:v>
                </c:pt>
                <c:pt idx="3">
                  <c:v>8.1690718066927646E-3</c:v>
                </c:pt>
                <c:pt idx="4">
                  <c:v>1.0894843877653135E-2</c:v>
                </c:pt>
                <c:pt idx="5">
                  <c:v>3.2783077753590406E-2</c:v>
                </c:pt>
                <c:pt idx="6">
                  <c:v>5.8628687463160099E-2</c:v>
                </c:pt>
                <c:pt idx="7">
                  <c:v>0.13217975920957759</c:v>
                </c:pt>
                <c:pt idx="8">
                  <c:v>0.16236944210832183</c:v>
                </c:pt>
                <c:pt idx="9">
                  <c:v>0.22151155294445302</c:v>
                </c:pt>
                <c:pt idx="10">
                  <c:v>0.22945661245347021</c:v>
                </c:pt>
                <c:pt idx="11">
                  <c:v>0.23070939620968306</c:v>
                </c:pt>
                <c:pt idx="12">
                  <c:v>0.17864266565398065</c:v>
                </c:pt>
                <c:pt idx="13">
                  <c:v>0.16723102259329653</c:v>
                </c:pt>
                <c:pt idx="14">
                  <c:v>0.11273748815974458</c:v>
                </c:pt>
                <c:pt idx="15">
                  <c:v>7.6232410069426007E-2</c:v>
                </c:pt>
                <c:pt idx="16">
                  <c:v>0.10633711541156758</c:v>
                </c:pt>
                <c:pt idx="17">
                  <c:v>0.10016451125078958</c:v>
                </c:pt>
                <c:pt idx="18">
                  <c:v>0.13180155316932463</c:v>
                </c:pt>
                <c:pt idx="19">
                  <c:v>0.1227478198308896</c:v>
                </c:pt>
                <c:pt idx="20">
                  <c:v>0.19495778291971924</c:v>
                </c:pt>
                <c:pt idx="21">
                  <c:v>0.22250050332590834</c:v>
                </c:pt>
                <c:pt idx="22">
                  <c:v>0.25363765606470967</c:v>
                </c:pt>
                <c:pt idx="23">
                  <c:v>0.24238209730225166</c:v>
                </c:pt>
                <c:pt idx="24">
                  <c:v>0.14218508539687186</c:v>
                </c:pt>
                <c:pt idx="25">
                  <c:v>0.15661158703161698</c:v>
                </c:pt>
                <c:pt idx="26">
                  <c:v>0.14013618721734139</c:v>
                </c:pt>
                <c:pt idx="27">
                  <c:v>0.11767347460422259</c:v>
                </c:pt>
                <c:pt idx="28">
                  <c:v>0.10423916120791495</c:v>
                </c:pt>
                <c:pt idx="29">
                  <c:v>0.11172073757529906</c:v>
                </c:pt>
                <c:pt idx="30">
                  <c:v>0.1573057020969737</c:v>
                </c:pt>
                <c:pt idx="31">
                  <c:v>0.1592131651180585</c:v>
                </c:pt>
                <c:pt idx="32">
                  <c:v>0.1710435472016715</c:v>
                </c:pt>
                <c:pt idx="33">
                  <c:v>0.10875114889623451</c:v>
                </c:pt>
                <c:pt idx="34">
                  <c:v>5.3581254039839224E-2</c:v>
                </c:pt>
                <c:pt idx="35">
                  <c:v>2.969666661045155E-2</c:v>
                </c:pt>
                <c:pt idx="36">
                  <c:v>1.5563507171731243E-2</c:v>
                </c:pt>
                <c:pt idx="37">
                  <c:v>1.2472557776246533E-2</c:v>
                </c:pt>
                <c:pt idx="38">
                  <c:v>5.4861725012826466E-3</c:v>
                </c:pt>
                <c:pt idx="39">
                  <c:v>3.1634363518274391E-3</c:v>
                </c:pt>
                <c:pt idx="40">
                  <c:v>1.9904239183756124E-3</c:v>
                </c:pt>
                <c:pt idx="41">
                  <c:v>5.1573811222593424E-4</c:v>
                </c:pt>
                <c:pt idx="42">
                  <c:v>9.7361323835719966E-4</c:v>
                </c:pt>
                <c:pt idx="43">
                  <c:v>5.4040052584049486E-4</c:v>
                </c:pt>
                <c:pt idx="44">
                  <c:v>5.4040052584049486E-4</c:v>
                </c:pt>
                <c:pt idx="45">
                  <c:v>5.4040052584049486E-4</c:v>
                </c:pt>
                <c:pt idx="46">
                  <c:v>5.7652944184961624E-4</c:v>
                </c:pt>
                <c:pt idx="47">
                  <c:v>5.7652944184961624E-4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3F0-46E8-A70C-EEC00E31A2E8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1'!$E$421:$E$468</c:f>
              <c:numCache>
                <c:formatCode>###0.0%</c:formatCode>
                <c:ptCount val="48"/>
                <c:pt idx="0">
                  <c:v>0.98815376745365113</c:v>
                </c:pt>
                <c:pt idx="1">
                  <c:v>0.986391226167185</c:v>
                </c:pt>
                <c:pt idx="2">
                  <c:v>0.97539807731291606</c:v>
                </c:pt>
                <c:pt idx="3">
                  <c:v>0.9535175778204803</c:v>
                </c:pt>
                <c:pt idx="4">
                  <c:v>0.92627732990067646</c:v>
                </c:pt>
                <c:pt idx="5">
                  <c:v>0.87093705975358915</c:v>
                </c:pt>
                <c:pt idx="6">
                  <c:v>0.7904628532611977</c:v>
                </c:pt>
                <c:pt idx="7">
                  <c:v>0.60568569635192815</c:v>
                </c:pt>
                <c:pt idx="8">
                  <c:v>0.48069084496205616</c:v>
                </c:pt>
                <c:pt idx="9">
                  <c:v>0.31598158194870396</c:v>
                </c:pt>
                <c:pt idx="10">
                  <c:v>0.23083312315820698</c:v>
                </c:pt>
                <c:pt idx="11">
                  <c:v>0.15355163248101952</c:v>
                </c:pt>
                <c:pt idx="12">
                  <c:v>0.11026021730238134</c:v>
                </c:pt>
                <c:pt idx="13">
                  <c:v>6.6488946706190197E-2</c:v>
                </c:pt>
                <c:pt idx="14">
                  <c:v>5.305333600661305E-2</c:v>
                </c:pt>
                <c:pt idx="15">
                  <c:v>3.6463687035346103E-2</c:v>
                </c:pt>
                <c:pt idx="16">
                  <c:v>3.4804749511231643E-2</c:v>
                </c:pt>
                <c:pt idx="17">
                  <c:v>3.2230050286219301E-2</c:v>
                </c:pt>
                <c:pt idx="18">
                  <c:v>3.6862892380470795E-2</c:v>
                </c:pt>
                <c:pt idx="19">
                  <c:v>3.1284324151644581E-2</c:v>
                </c:pt>
                <c:pt idx="20">
                  <c:v>2.1725735411953856E-2</c:v>
                </c:pt>
                <c:pt idx="21">
                  <c:v>3.1152212506868414E-2</c:v>
                </c:pt>
                <c:pt idx="22">
                  <c:v>3.1613224675611194E-2</c:v>
                </c:pt>
                <c:pt idx="23">
                  <c:v>3.8218932837232017E-2</c:v>
                </c:pt>
                <c:pt idx="24">
                  <c:v>6.020357535720209E-2</c:v>
                </c:pt>
                <c:pt idx="25">
                  <c:v>6.10326293444797E-2</c:v>
                </c:pt>
                <c:pt idx="26">
                  <c:v>5.4093707343837394E-2</c:v>
                </c:pt>
                <c:pt idx="27">
                  <c:v>4.7888400876503694E-2</c:v>
                </c:pt>
                <c:pt idx="28">
                  <c:v>5.0145845719769246E-2</c:v>
                </c:pt>
                <c:pt idx="29">
                  <c:v>4.3552064757283702E-2</c:v>
                </c:pt>
                <c:pt idx="30">
                  <c:v>5.7957255126280173E-2</c:v>
                </c:pt>
                <c:pt idx="31">
                  <c:v>6.3557440963424944E-2</c:v>
                </c:pt>
                <c:pt idx="32">
                  <c:v>6.1053490045327098E-2</c:v>
                </c:pt>
                <c:pt idx="33">
                  <c:v>6.6202605433037159E-2</c:v>
                </c:pt>
                <c:pt idx="34">
                  <c:v>0.12178260746235312</c:v>
                </c:pt>
                <c:pt idx="35">
                  <c:v>0.1529233203422489</c:v>
                </c:pt>
                <c:pt idx="36">
                  <c:v>0.42281740235075721</c:v>
                </c:pt>
                <c:pt idx="37">
                  <c:v>0.50935948635074635</c:v>
                </c:pt>
                <c:pt idx="38">
                  <c:v>0.70940288170380439</c:v>
                </c:pt>
                <c:pt idx="39">
                  <c:v>0.79662800036722914</c:v>
                </c:pt>
                <c:pt idx="40">
                  <c:v>0.90120351804869092</c:v>
                </c:pt>
                <c:pt idx="41">
                  <c:v>0.94212919624247404</c:v>
                </c:pt>
                <c:pt idx="42">
                  <c:v>0.97684535039760179</c:v>
                </c:pt>
                <c:pt idx="43">
                  <c:v>0.98381793088461944</c:v>
                </c:pt>
                <c:pt idx="44">
                  <c:v>0.98957042794781847</c:v>
                </c:pt>
                <c:pt idx="45">
                  <c:v>0.99237887742601572</c:v>
                </c:pt>
                <c:pt idx="46">
                  <c:v>0.99396608543369736</c:v>
                </c:pt>
                <c:pt idx="47">
                  <c:v>0.99425598990737607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3F0-46E8-A70C-EEC00E31A2E8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1'!$F$421:$F$468</c:f>
              <c:numCache>
                <c:formatCode>###0.0%</c:formatCode>
                <c:ptCount val="48"/>
                <c:pt idx="0">
                  <c:v>5.2927849589070467E-3</c:v>
                </c:pt>
                <c:pt idx="1">
                  <c:v>5.5050236740767774E-3</c:v>
                </c:pt>
                <c:pt idx="2">
                  <c:v>4.8898232945390517E-3</c:v>
                </c:pt>
                <c:pt idx="3">
                  <c:v>6.5773363358802624E-3</c:v>
                </c:pt>
                <c:pt idx="4">
                  <c:v>4.4910241042720386E-3</c:v>
                </c:pt>
                <c:pt idx="5">
                  <c:v>8.4657336949511431E-3</c:v>
                </c:pt>
                <c:pt idx="6">
                  <c:v>1.2877141868900261E-2</c:v>
                </c:pt>
                <c:pt idx="7">
                  <c:v>2.0050670098169035E-2</c:v>
                </c:pt>
                <c:pt idx="8">
                  <c:v>3.2447661714450696E-2</c:v>
                </c:pt>
                <c:pt idx="9">
                  <c:v>6.3323716399745655E-2</c:v>
                </c:pt>
                <c:pt idx="10">
                  <c:v>6.6530238790359061E-2</c:v>
                </c:pt>
                <c:pt idx="11">
                  <c:v>9.0881809913370193E-2</c:v>
                </c:pt>
                <c:pt idx="12">
                  <c:v>0.13034098137632663</c:v>
                </c:pt>
                <c:pt idx="13">
                  <c:v>0.14962452640314008</c:v>
                </c:pt>
                <c:pt idx="14">
                  <c:v>0.18270411135847531</c:v>
                </c:pt>
                <c:pt idx="15">
                  <c:v>0.2110810574290225</c:v>
                </c:pt>
                <c:pt idx="16">
                  <c:v>0.23779817636448639</c:v>
                </c:pt>
                <c:pt idx="17">
                  <c:v>0.23101336193138988</c:v>
                </c:pt>
                <c:pt idx="18">
                  <c:v>0.25466931053069175</c:v>
                </c:pt>
                <c:pt idx="19">
                  <c:v>0.26185447821587565</c:v>
                </c:pt>
                <c:pt idx="20">
                  <c:v>0.25404234673557918</c:v>
                </c:pt>
                <c:pt idx="21">
                  <c:v>0.27088669898142786</c:v>
                </c:pt>
                <c:pt idx="22">
                  <c:v>0.29948597427294077</c:v>
                </c:pt>
                <c:pt idx="23">
                  <c:v>0.34592727905616305</c:v>
                </c:pt>
                <c:pt idx="24">
                  <c:v>0.38884192480417129</c:v>
                </c:pt>
                <c:pt idx="25">
                  <c:v>0.40054407880972126</c:v>
                </c:pt>
                <c:pt idx="26">
                  <c:v>0.40129580274443893</c:v>
                </c:pt>
                <c:pt idx="27">
                  <c:v>0.40580504580056631</c:v>
                </c:pt>
                <c:pt idx="28">
                  <c:v>0.38832822827947749</c:v>
                </c:pt>
                <c:pt idx="29">
                  <c:v>0.37124147863753926</c:v>
                </c:pt>
                <c:pt idx="30">
                  <c:v>0.26571031722509525</c:v>
                </c:pt>
                <c:pt idx="31">
                  <c:v>0.24700915369418872</c:v>
                </c:pt>
                <c:pt idx="32">
                  <c:v>0.2067210272261725</c:v>
                </c:pt>
                <c:pt idx="33">
                  <c:v>0.20349312076849921</c:v>
                </c:pt>
                <c:pt idx="34">
                  <c:v>0.19920269167037297</c:v>
                </c:pt>
                <c:pt idx="35">
                  <c:v>0.18050236599383906</c:v>
                </c:pt>
                <c:pt idx="36">
                  <c:v>0.13855280588410465</c:v>
                </c:pt>
                <c:pt idx="37">
                  <c:v>0.12683588176086397</c:v>
                </c:pt>
                <c:pt idx="38">
                  <c:v>8.8693808026472323E-2</c:v>
                </c:pt>
                <c:pt idx="39">
                  <c:v>7.4363604346278658E-2</c:v>
                </c:pt>
                <c:pt idx="40">
                  <c:v>4.3020021564356206E-2</c:v>
                </c:pt>
                <c:pt idx="41">
                  <c:v>2.3166636923776972E-2</c:v>
                </c:pt>
                <c:pt idx="42">
                  <c:v>9.7784628758480225E-3</c:v>
                </c:pt>
                <c:pt idx="43">
                  <c:v>4.8813934583269445E-3</c:v>
                </c:pt>
                <c:pt idx="44">
                  <c:v>4.789710515833356E-3</c:v>
                </c:pt>
                <c:pt idx="45">
                  <c:v>2.6443623514342345E-3</c:v>
                </c:pt>
                <c:pt idx="46">
                  <c:v>1.015378013556021E-3</c:v>
                </c:pt>
                <c:pt idx="47">
                  <c:v>1.3547437087772566E-3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3F0-46E8-A70C-EEC00E31A2E8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1'!$G$421:$G$468</c:f>
              <c:numCache>
                <c:formatCode>###0.0%</c:formatCode>
                <c:ptCount val="48"/>
                <c:pt idx="0">
                  <c:v>1.6627509634953152E-3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2.2314258100306797E-3</c:v>
                </c:pt>
                <c:pt idx="5">
                  <c:v>3.8366150652010241E-3</c:v>
                </c:pt>
                <c:pt idx="6">
                  <c:v>4.8423132991628412E-3</c:v>
                </c:pt>
                <c:pt idx="7">
                  <c:v>9.3519490791400227E-3</c:v>
                </c:pt>
                <c:pt idx="8">
                  <c:v>1.3915834271314997E-2</c:v>
                </c:pt>
                <c:pt idx="9">
                  <c:v>2.265072109401579E-2</c:v>
                </c:pt>
                <c:pt idx="10">
                  <c:v>2.9931099799002804E-2</c:v>
                </c:pt>
                <c:pt idx="11">
                  <c:v>3.677558893658199E-2</c:v>
                </c:pt>
                <c:pt idx="12">
                  <c:v>3.4184593442015763E-2</c:v>
                </c:pt>
                <c:pt idx="13">
                  <c:v>4.4273426445434055E-2</c:v>
                </c:pt>
                <c:pt idx="14">
                  <c:v>4.9692472420652153E-2</c:v>
                </c:pt>
                <c:pt idx="15">
                  <c:v>5.9842218225782708E-2</c:v>
                </c:pt>
                <c:pt idx="16">
                  <c:v>5.8387284470189066E-2</c:v>
                </c:pt>
                <c:pt idx="17">
                  <c:v>6.1594598252241665E-2</c:v>
                </c:pt>
                <c:pt idx="18">
                  <c:v>5.001995921877872E-2</c:v>
                </c:pt>
                <c:pt idx="19">
                  <c:v>5.3597314429459961E-2</c:v>
                </c:pt>
                <c:pt idx="20">
                  <c:v>4.6326710867473392E-2</c:v>
                </c:pt>
                <c:pt idx="21">
                  <c:v>5.186461138656151E-2</c:v>
                </c:pt>
                <c:pt idx="22">
                  <c:v>7.1008124721838192E-2</c:v>
                </c:pt>
                <c:pt idx="23">
                  <c:v>7.9916982407259293E-2</c:v>
                </c:pt>
                <c:pt idx="24">
                  <c:v>0.11099280599703548</c:v>
                </c:pt>
                <c:pt idx="25">
                  <c:v>0.12528820843945709</c:v>
                </c:pt>
                <c:pt idx="26">
                  <c:v>0.1240386667046349</c:v>
                </c:pt>
                <c:pt idx="27">
                  <c:v>0.13987030877818898</c:v>
                </c:pt>
                <c:pt idx="28">
                  <c:v>0.15197320983006604</c:v>
                </c:pt>
                <c:pt idx="29">
                  <c:v>0.16910358598650141</c:v>
                </c:pt>
                <c:pt idx="30">
                  <c:v>0.2453078732073464</c:v>
                </c:pt>
                <c:pt idx="31">
                  <c:v>0.28077488373378401</c:v>
                </c:pt>
                <c:pt idx="32">
                  <c:v>0.35192224205891726</c:v>
                </c:pt>
                <c:pt idx="33">
                  <c:v>0.42757516328591921</c:v>
                </c:pt>
                <c:pt idx="34">
                  <c:v>0.4754232173678451</c:v>
                </c:pt>
                <c:pt idx="35">
                  <c:v>0.52754681154813599</c:v>
                </c:pt>
                <c:pt idx="36">
                  <c:v>0.33161503342583992</c:v>
                </c:pt>
                <c:pt idx="37">
                  <c:v>0.29632490878449108</c:v>
                </c:pt>
                <c:pt idx="38">
                  <c:v>0.16310100489804341</c:v>
                </c:pt>
                <c:pt idx="39">
                  <c:v>0.10460494236152516</c:v>
                </c:pt>
                <c:pt idx="40">
                  <c:v>4.2507200536600641E-2</c:v>
                </c:pt>
                <c:pt idx="41">
                  <c:v>2.4188201638781742E-2</c:v>
                </c:pt>
                <c:pt idx="42">
                  <c:v>7.3878283279289868E-3</c:v>
                </c:pt>
                <c:pt idx="43">
                  <c:v>3.8563649158058679E-3</c:v>
                </c:pt>
                <c:pt idx="44">
                  <c:v>2.1195254349495778E-3</c:v>
                </c:pt>
                <c:pt idx="45">
                  <c:v>2.1195254349495778E-3</c:v>
                </c:pt>
                <c:pt idx="46">
                  <c:v>8.0909017814849123E-4</c:v>
                </c:pt>
                <c:pt idx="47">
                  <c:v>8.0909017814849123E-4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3F0-46E8-A70C-EEC00E31A2E8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1'!$A$421:$A$468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1'!$H$421:$H$468</c:f>
              <c:numCache>
                <c:formatCode>###0.0%</c:formatCode>
                <c:ptCount val="4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7.3390581495147032E-4</c:v>
                </c:pt>
                <c:pt idx="6">
                  <c:v>1.0327512709471466E-3</c:v>
                </c:pt>
                <c:pt idx="7">
                  <c:v>1.4937666819152913E-3</c:v>
                </c:pt>
                <c:pt idx="8">
                  <c:v>2.8368581169347824E-3</c:v>
                </c:pt>
                <c:pt idx="9">
                  <c:v>3.1939115359805124E-3</c:v>
                </c:pt>
                <c:pt idx="10">
                  <c:v>9.3465695743916305E-3</c:v>
                </c:pt>
                <c:pt idx="11">
                  <c:v>1.0473512945090189E-2</c:v>
                </c:pt>
                <c:pt idx="12">
                  <c:v>1.0718756847099019E-2</c:v>
                </c:pt>
                <c:pt idx="13">
                  <c:v>8.5444961747145956E-3</c:v>
                </c:pt>
                <c:pt idx="14">
                  <c:v>8.2580339047130542E-3</c:v>
                </c:pt>
                <c:pt idx="15">
                  <c:v>1.1899346245428027E-2</c:v>
                </c:pt>
                <c:pt idx="16">
                  <c:v>8.9207480821645903E-3</c:v>
                </c:pt>
                <c:pt idx="17">
                  <c:v>4.0096291646862106E-3</c:v>
                </c:pt>
                <c:pt idx="18">
                  <c:v>4.3365487045605782E-3</c:v>
                </c:pt>
                <c:pt idx="19">
                  <c:v>3.2144529159353896E-3</c:v>
                </c:pt>
                <c:pt idx="20">
                  <c:v>9.6845880852946837E-3</c:v>
                </c:pt>
                <c:pt idx="21">
                  <c:v>4.0932338713709701E-3</c:v>
                </c:pt>
                <c:pt idx="22">
                  <c:v>4.3421962829515576E-3</c:v>
                </c:pt>
                <c:pt idx="23">
                  <c:v>2.1471185280177974E-3</c:v>
                </c:pt>
                <c:pt idx="24">
                  <c:v>5.1193712843954934E-3</c:v>
                </c:pt>
                <c:pt idx="25">
                  <c:v>4.7275243345830126E-3</c:v>
                </c:pt>
                <c:pt idx="26">
                  <c:v>4.6340912477393185E-3</c:v>
                </c:pt>
                <c:pt idx="27">
                  <c:v>2.8297113109336121E-3</c:v>
                </c:pt>
                <c:pt idx="28">
                  <c:v>6.9429526247728702E-3</c:v>
                </c:pt>
                <c:pt idx="29">
                  <c:v>9.4727490309405391E-3</c:v>
                </c:pt>
                <c:pt idx="30">
                  <c:v>1.0059119629679597E-2</c:v>
                </c:pt>
                <c:pt idx="31">
                  <c:v>6.0377706247234462E-3</c:v>
                </c:pt>
                <c:pt idx="32">
                  <c:v>5.5179803482326541E-3</c:v>
                </c:pt>
                <c:pt idx="33">
                  <c:v>4.8063547166363454E-3</c:v>
                </c:pt>
                <c:pt idx="34">
                  <c:v>5.75976102757687E-3</c:v>
                </c:pt>
                <c:pt idx="35">
                  <c:v>2.8872867878764453E-3</c:v>
                </c:pt>
                <c:pt idx="36">
                  <c:v>3.5913081236804163E-3</c:v>
                </c:pt>
                <c:pt idx="37">
                  <c:v>1.7959321736179198E-3</c:v>
                </c:pt>
                <c:pt idx="38">
                  <c:v>1.2323377365263263E-3</c:v>
                </c:pt>
                <c:pt idx="39">
                  <c:v>0</c:v>
                </c:pt>
                <c:pt idx="40">
                  <c:v>1.0105293284532087E-3</c:v>
                </c:pt>
                <c:pt idx="41">
                  <c:v>2.0210586569064173E-3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3F0-46E8-A70C-EEC00E31A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55008"/>
        <c:axId val="1099064256"/>
      </c:areaChart>
      <c:catAx>
        <c:axId val="1099055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4256"/>
        <c:crosses val="autoZero"/>
        <c:auto val="1"/>
        <c:lblAlgn val="ctr"/>
        <c:lblOffset val="100"/>
        <c:noMultiLvlLbl val="0"/>
      </c:catAx>
      <c:valAx>
        <c:axId val="109906425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5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183500080788559"/>
          <c:y val="4.0077454938250101E-2"/>
          <c:w val="0.74155810853342796"/>
          <c:h val="0.7213472130490677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7'!$A$14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7'!$B$12:$E$13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Радни дани</c:v>
                  </c:pt>
                  <c:pt idx="2">
                    <c:v>Дани викенда</c:v>
                  </c:pt>
                </c:lvl>
              </c:multiLvlStrCache>
            </c:multiLvlStrRef>
          </c:cat>
          <c:val>
            <c:numRef>
              <c:f>'Граф 7'!$B$14:$E$14</c:f>
              <c:numCache>
                <c:formatCode>###0.00</c:formatCode>
                <c:ptCount val="4"/>
                <c:pt idx="0">
                  <c:v>5.9184213728733983</c:v>
                </c:pt>
                <c:pt idx="1">
                  <c:v>4.0197525260591584</c:v>
                </c:pt>
                <c:pt idx="2">
                  <c:v>2.4749587485903688</c:v>
                </c:pt>
                <c:pt idx="3">
                  <c:v>1.2837096830146757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5-4B30-AA38-5637C92D26E4}"/>
            </c:ext>
          </c:extLst>
        </c:ser>
        <c:ser>
          <c:idx val="1"/>
          <c:order val="1"/>
          <c:tx>
            <c:strRef>
              <c:f>'Граф 7'!$A$15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7'!$B$12:$E$13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Радни дани</c:v>
                  </c:pt>
                  <c:pt idx="2">
                    <c:v>Дани викенда</c:v>
                  </c:pt>
                </c:lvl>
              </c:multiLvlStrCache>
            </c:multiLvlStrRef>
          </c:cat>
          <c:val>
            <c:numRef>
              <c:f>'Граф 7'!$B$15:$E$15</c:f>
              <c:numCache>
                <c:formatCode>###0.00</c:formatCode>
                <c:ptCount val="4"/>
                <c:pt idx="0">
                  <c:v>1.5206703041496534</c:v>
                </c:pt>
                <c:pt idx="1">
                  <c:v>3.8255606286388844</c:v>
                </c:pt>
                <c:pt idx="2">
                  <c:v>2.1598896084470374</c:v>
                </c:pt>
                <c:pt idx="3">
                  <c:v>4.459010940974534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5-4B30-AA38-5637C92D2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9064800"/>
        <c:axId val="1099065344"/>
      </c:barChart>
      <c:catAx>
        <c:axId val="10990648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5344"/>
        <c:crosses val="autoZero"/>
        <c:auto val="1"/>
        <c:lblAlgn val="ctr"/>
        <c:lblOffset val="100"/>
        <c:noMultiLvlLbl val="0"/>
      </c:catAx>
      <c:valAx>
        <c:axId val="1099065344"/>
        <c:scaling>
          <c:orientation val="minMax"/>
          <c:max val="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4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32871192646536801"/>
          <c:y val="0.88066348798659622"/>
          <c:w val="0.45208704469691358"/>
          <c:h val="7.32253827766563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946898354105106"/>
          <c:y val="4.6933325449520134E-2"/>
          <c:w val="0.77753073077791712"/>
          <c:h val="0.756486928044190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8'!$A$12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8'!$B$10:$I$11</c:f>
              <c:multiLvlStrCache>
                <c:ptCount val="8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</c:lvl>
                <c:lvl>
                  <c:pt idx="0">
                    <c:v>&lt; 3</c:v>
                  </c:pt>
                  <c:pt idx="2">
                    <c:v>3-7</c:v>
                  </c:pt>
                  <c:pt idx="4">
                    <c:v>7-11</c:v>
                  </c:pt>
                  <c:pt idx="6">
                    <c:v>11+</c:v>
                  </c:pt>
                </c:lvl>
              </c:multiLvlStrCache>
            </c:multiLvlStrRef>
          </c:cat>
          <c:val>
            <c:numRef>
              <c:f>'Граф 8'!$B$12:$I$12</c:f>
              <c:numCache>
                <c:formatCode>###0.00</c:formatCode>
                <c:ptCount val="8"/>
                <c:pt idx="0">
                  <c:v>1.6970508232038413</c:v>
                </c:pt>
                <c:pt idx="1">
                  <c:v>1.5592485023353773</c:v>
                </c:pt>
                <c:pt idx="2">
                  <c:v>5.2762690635763185</c:v>
                </c:pt>
                <c:pt idx="3">
                  <c:v>5.4411514178983298</c:v>
                </c:pt>
                <c:pt idx="4">
                  <c:v>8.6655397491344406</c:v>
                </c:pt>
                <c:pt idx="5">
                  <c:v>8.4879492735788986</c:v>
                </c:pt>
                <c:pt idx="6">
                  <c:v>12.436688517763892</c:v>
                </c:pt>
                <c:pt idx="7">
                  <c:v>12.277830413743327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AD-4B89-90C3-55447C6D9270}"/>
            </c:ext>
          </c:extLst>
        </c:ser>
        <c:ser>
          <c:idx val="1"/>
          <c:order val="1"/>
          <c:tx>
            <c:strRef>
              <c:f>'Граф 8'!$A$13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8'!$B$10:$I$11</c:f>
              <c:multiLvlStrCache>
                <c:ptCount val="8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</c:lvl>
                <c:lvl>
                  <c:pt idx="0">
                    <c:v>&lt; 3</c:v>
                  </c:pt>
                  <c:pt idx="2">
                    <c:v>3-7</c:v>
                  </c:pt>
                  <c:pt idx="4">
                    <c:v>7-11</c:v>
                  </c:pt>
                  <c:pt idx="6">
                    <c:v>11+</c:v>
                  </c:pt>
                </c:lvl>
              </c:multiLvlStrCache>
            </c:multiLvlStrRef>
          </c:cat>
          <c:val>
            <c:numRef>
              <c:f>'Граф 8'!$B$13:$I$13</c:f>
              <c:numCache>
                <c:formatCode>###0.00</c:formatCode>
                <c:ptCount val="8"/>
                <c:pt idx="0">
                  <c:v>3.2302217043043524</c:v>
                </c:pt>
                <c:pt idx="1">
                  <c:v>5.4918594898920068</c:v>
                </c:pt>
                <c:pt idx="2">
                  <c:v>1.6507964231522367</c:v>
                </c:pt>
                <c:pt idx="3">
                  <c:v>3.3421422689932965</c:v>
                </c:pt>
                <c:pt idx="4">
                  <c:v>1.1107755676144404</c:v>
                </c:pt>
                <c:pt idx="5">
                  <c:v>2.1910549545642204</c:v>
                </c:pt>
                <c:pt idx="6">
                  <c:v>0.40272838911913966</c:v>
                </c:pt>
                <c:pt idx="7">
                  <c:v>1.0563073690710338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AD-4B89-90C3-55447C6D9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99051200"/>
        <c:axId val="1099060992"/>
      </c:barChart>
      <c:catAx>
        <c:axId val="109905120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60992"/>
        <c:crosses val="autoZero"/>
        <c:auto val="1"/>
        <c:lblAlgn val="ctr"/>
        <c:lblOffset val="100"/>
        <c:noMultiLvlLbl val="0"/>
      </c:catAx>
      <c:valAx>
        <c:axId val="1099060992"/>
        <c:scaling>
          <c:orientation val="minMax"/>
          <c:max val="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1200"/>
        <c:crosses val="autoZero"/>
        <c:crossBetween val="between"/>
        <c:minorUnit val="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83515161216257E-2"/>
          <c:y val="4.7863247863247867E-2"/>
          <c:w val="0.91238718353682302"/>
          <c:h val="0.75231280705296455"/>
        </c:manualLayout>
      </c:layout>
      <c:lineChart>
        <c:grouping val="standard"/>
        <c:varyColors val="0"/>
        <c:ser>
          <c:idx val="1"/>
          <c:order val="0"/>
          <c:tx>
            <c:strRef>
              <c:f>'Граф 9 '!$U$3:$U$5</c:f>
              <c:strCache>
                <c:ptCount val="3"/>
                <c:pt idx="0">
                  <c:v>Мушкарци</c:v>
                </c:pt>
                <c:pt idx="2">
                  <c:v>Неплаћени посао</c:v>
                </c:pt>
              </c:strCache>
            </c:strRef>
          </c:tx>
          <c:spPr>
            <a:ln w="19050" cap="rnd">
              <a:solidFill>
                <a:srgbClr val="72A2DC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'Граф 9 '!$S$6:$S$53</c:f>
              <c:strCache>
                <c:ptCount val="48"/>
                <c:pt idx="0">
                  <c:v>4:00</c:v>
                </c:pt>
                <c:pt idx="4">
                  <c:v>6:00</c:v>
                </c:pt>
                <c:pt idx="8">
                  <c:v>8:00</c:v>
                </c:pt>
                <c:pt idx="12">
                  <c:v>10:00</c:v>
                </c:pt>
                <c:pt idx="16">
                  <c:v>12:00</c:v>
                </c:pt>
                <c:pt idx="20">
                  <c:v>14:00</c:v>
                </c:pt>
                <c:pt idx="24">
                  <c:v>16:00</c:v>
                </c:pt>
                <c:pt idx="28">
                  <c:v>18:00</c:v>
                </c:pt>
                <c:pt idx="32">
                  <c:v>20:00</c:v>
                </c:pt>
                <c:pt idx="36">
                  <c:v>22:00</c:v>
                </c:pt>
                <c:pt idx="40">
                  <c:v>00:00</c:v>
                </c:pt>
                <c:pt idx="44">
                  <c:v>2:00</c:v>
                </c:pt>
                <c:pt idx="47">
                  <c:v>3:30</c:v>
                </c:pt>
              </c:strCache>
            </c:strRef>
          </c:cat>
          <c:val>
            <c:numRef>
              <c:f>'Граф 9 '!$U$6:$U$53</c:f>
              <c:numCache>
                <c:formatCode>General</c:formatCode>
                <c:ptCount val="48"/>
                <c:pt idx="0">
                  <c:v>2.2850381509330463E-2</c:v>
                </c:pt>
                <c:pt idx="1">
                  <c:v>0.11038053366323167</c:v>
                </c:pt>
                <c:pt idx="2">
                  <c:v>0.62984571731623529</c:v>
                </c:pt>
                <c:pt idx="3">
                  <c:v>1.2264822377756923</c:v>
                </c:pt>
                <c:pt idx="4">
                  <c:v>1.8971955530105333</c:v>
                </c:pt>
                <c:pt idx="5">
                  <c:v>3.7380694894986695</c:v>
                </c:pt>
                <c:pt idx="6">
                  <c:v>6.0423786576994845</c:v>
                </c:pt>
                <c:pt idx="7">
                  <c:v>8.9821645209581504</c:v>
                </c:pt>
                <c:pt idx="8">
                  <c:v>12.104751774226251</c:v>
                </c:pt>
                <c:pt idx="9">
                  <c:v>14.494087412456958</c:v>
                </c:pt>
                <c:pt idx="10">
                  <c:v>15.716258616849101</c:v>
                </c:pt>
                <c:pt idx="11">
                  <c:v>15.249476463668953</c:v>
                </c:pt>
                <c:pt idx="12">
                  <c:v>18.336657856260935</c:v>
                </c:pt>
                <c:pt idx="13">
                  <c:v>17.822513339500443</c:v>
                </c:pt>
                <c:pt idx="14">
                  <c:v>16.735423518385335</c:v>
                </c:pt>
                <c:pt idx="15">
                  <c:v>16.034058509883167</c:v>
                </c:pt>
                <c:pt idx="16">
                  <c:v>14.143634924180731</c:v>
                </c:pt>
                <c:pt idx="17">
                  <c:v>13.945721243349116</c:v>
                </c:pt>
                <c:pt idx="18">
                  <c:v>11.462816898506201</c:v>
                </c:pt>
                <c:pt idx="19">
                  <c:v>11.887188731040686</c:v>
                </c:pt>
                <c:pt idx="20">
                  <c:v>10.127031924859255</c:v>
                </c:pt>
                <c:pt idx="21">
                  <c:v>10.909725555334832</c:v>
                </c:pt>
                <c:pt idx="22">
                  <c:v>10.287241936190567</c:v>
                </c:pt>
                <c:pt idx="23">
                  <c:v>12.362843812389274</c:v>
                </c:pt>
                <c:pt idx="24">
                  <c:v>14.728560665399911</c:v>
                </c:pt>
                <c:pt idx="25">
                  <c:v>15.33127076645069</c:v>
                </c:pt>
                <c:pt idx="26">
                  <c:v>14.75851914194623</c:v>
                </c:pt>
                <c:pt idx="27">
                  <c:v>14.9575049293035</c:v>
                </c:pt>
                <c:pt idx="28">
                  <c:v>18.211589783256954</c:v>
                </c:pt>
                <c:pt idx="29">
                  <c:v>16.822883735641355</c:v>
                </c:pt>
                <c:pt idx="30">
                  <c:v>13.791750040624015</c:v>
                </c:pt>
                <c:pt idx="31">
                  <c:v>11.224219142336983</c:v>
                </c:pt>
                <c:pt idx="32">
                  <c:v>7.1569483099732727</c:v>
                </c:pt>
                <c:pt idx="33">
                  <c:v>6.2816665969414096</c:v>
                </c:pt>
                <c:pt idx="34">
                  <c:v>4.1679388391523426</c:v>
                </c:pt>
                <c:pt idx="35">
                  <c:v>2.9137895325580492</c:v>
                </c:pt>
                <c:pt idx="36">
                  <c:v>2.2598094115215761</c:v>
                </c:pt>
                <c:pt idx="37">
                  <c:v>1.6545857960732484</c:v>
                </c:pt>
                <c:pt idx="38">
                  <c:v>0.83912748824740602</c:v>
                </c:pt>
                <c:pt idx="39">
                  <c:v>0.29277860388374904</c:v>
                </c:pt>
                <c:pt idx="40">
                  <c:v>8.9383150717048859E-2</c:v>
                </c:pt>
                <c:pt idx="41">
                  <c:v>5.3803880885094628E-2</c:v>
                </c:pt>
                <c:pt idx="42">
                  <c:v>7.4706696591678723E-2</c:v>
                </c:pt>
                <c:pt idx="43">
                  <c:v>0</c:v>
                </c:pt>
                <c:pt idx="44">
                  <c:v>5.7545988607249438E-2</c:v>
                </c:pt>
                <c:pt idx="45">
                  <c:v>5.7545988607249438E-2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6-4B2B-9E19-AB1FF49F1B13}"/>
            </c:ext>
          </c:extLst>
        </c:ser>
        <c:ser>
          <c:idx val="2"/>
          <c:order val="1"/>
          <c:tx>
            <c:strRef>
              <c:f>'Граф 9 '!$V$3:$V$5</c:f>
              <c:strCache>
                <c:ptCount val="3"/>
                <c:pt idx="0">
                  <c:v>Мушкарци</c:v>
                </c:pt>
                <c:pt idx="2">
                  <c:v>Укупан посао</c:v>
                </c:pt>
              </c:strCache>
            </c:strRef>
          </c:tx>
          <c:spPr>
            <a:ln w="28575" cap="rnd">
              <a:solidFill>
                <a:srgbClr val="00B0F0"/>
              </a:solidFill>
              <a:prstDash val="solid"/>
              <a:round/>
            </a:ln>
            <a:effectLst/>
          </c:spPr>
          <c:marker>
            <c:symbol val="none"/>
          </c:marker>
          <c:cat>
            <c:strRef>
              <c:f>'Граф 9 '!$S$6:$S$53</c:f>
              <c:strCache>
                <c:ptCount val="48"/>
                <c:pt idx="0">
                  <c:v>4:00</c:v>
                </c:pt>
                <c:pt idx="4">
                  <c:v>6:00</c:v>
                </c:pt>
                <c:pt idx="8">
                  <c:v>8:00</c:v>
                </c:pt>
                <c:pt idx="12">
                  <c:v>10:00</c:v>
                </c:pt>
                <c:pt idx="16">
                  <c:v>12:00</c:v>
                </c:pt>
                <c:pt idx="20">
                  <c:v>14:00</c:v>
                </c:pt>
                <c:pt idx="24">
                  <c:v>16:00</c:v>
                </c:pt>
                <c:pt idx="28">
                  <c:v>18:00</c:v>
                </c:pt>
                <c:pt idx="32">
                  <c:v>20:00</c:v>
                </c:pt>
                <c:pt idx="36">
                  <c:v>22:00</c:v>
                </c:pt>
                <c:pt idx="40">
                  <c:v>00:00</c:v>
                </c:pt>
                <c:pt idx="44">
                  <c:v>2:00</c:v>
                </c:pt>
                <c:pt idx="47">
                  <c:v>3:30</c:v>
                </c:pt>
              </c:strCache>
            </c:strRef>
          </c:cat>
          <c:val>
            <c:numRef>
              <c:f>'Граф 9 '!$V$6:$V$53</c:f>
              <c:numCache>
                <c:formatCode>General</c:formatCode>
                <c:ptCount val="48"/>
                <c:pt idx="0">
                  <c:v>1.6342858478247502</c:v>
                </c:pt>
                <c:pt idx="1">
                  <c:v>2.167438501951314</c:v>
                </c:pt>
                <c:pt idx="2">
                  <c:v>3.6958360623323654</c:v>
                </c:pt>
                <c:pt idx="3">
                  <c:v>7.6785114146404139</c:v>
                </c:pt>
                <c:pt idx="4">
                  <c:v>12.719133451967402</c:v>
                </c:pt>
                <c:pt idx="5">
                  <c:v>22.543696750444845</c:v>
                </c:pt>
                <c:pt idx="6">
                  <c:v>34.045762797895463</c:v>
                </c:pt>
                <c:pt idx="7">
                  <c:v>44.815444355577938</c:v>
                </c:pt>
                <c:pt idx="8">
                  <c:v>54.331382769020166</c:v>
                </c:pt>
                <c:pt idx="9">
                  <c:v>59.962889778155848</c:v>
                </c:pt>
                <c:pt idx="10">
                  <c:v>59.434581747078106</c:v>
                </c:pt>
                <c:pt idx="11">
                  <c:v>62.166436418529422</c:v>
                </c:pt>
                <c:pt idx="12">
                  <c:v>57.777812832932462</c:v>
                </c:pt>
                <c:pt idx="13">
                  <c:v>65.992724053104965</c:v>
                </c:pt>
                <c:pt idx="14">
                  <c:v>65.647998374953559</c:v>
                </c:pt>
                <c:pt idx="15">
                  <c:v>68.171805597928483</c:v>
                </c:pt>
                <c:pt idx="16">
                  <c:v>65.122689443288252</c:v>
                </c:pt>
                <c:pt idx="17">
                  <c:v>66.583218454541665</c:v>
                </c:pt>
                <c:pt idx="18">
                  <c:v>59.606646701854451</c:v>
                </c:pt>
                <c:pt idx="19">
                  <c:v>62.546156104941439</c:v>
                </c:pt>
                <c:pt idx="20">
                  <c:v>58.378859151536943</c:v>
                </c:pt>
                <c:pt idx="21">
                  <c:v>57.376586145792466</c:v>
                </c:pt>
                <c:pt idx="22">
                  <c:v>53.127468600427804</c:v>
                </c:pt>
                <c:pt idx="23">
                  <c:v>46.563563505646172</c:v>
                </c:pt>
                <c:pt idx="24">
                  <c:v>44.931238128301786</c:v>
                </c:pt>
                <c:pt idx="25">
                  <c:v>40.73904746838479</c:v>
                </c:pt>
                <c:pt idx="26">
                  <c:v>36.267310471173332</c:v>
                </c:pt>
                <c:pt idx="27">
                  <c:v>33.917512993784918</c:v>
                </c:pt>
                <c:pt idx="28">
                  <c:v>33.599313704985903</c:v>
                </c:pt>
                <c:pt idx="29">
                  <c:v>31.104266825694094</c:v>
                </c:pt>
                <c:pt idx="30">
                  <c:v>23.865927734015251</c:v>
                </c:pt>
                <c:pt idx="31">
                  <c:v>20.378312614029955</c:v>
                </c:pt>
                <c:pt idx="32">
                  <c:v>14.538934074573698</c:v>
                </c:pt>
                <c:pt idx="33">
                  <c:v>12.612057299822249</c:v>
                </c:pt>
                <c:pt idx="34">
                  <c:v>9.8163667555861451</c:v>
                </c:pt>
                <c:pt idx="35">
                  <c:v>8.2593276871754533</c:v>
                </c:pt>
                <c:pt idx="36">
                  <c:v>7.0012317526982617</c:v>
                </c:pt>
                <c:pt idx="37">
                  <c:v>4.7653038316065404</c:v>
                </c:pt>
                <c:pt idx="38">
                  <c:v>3.0047303361315345</c:v>
                </c:pt>
                <c:pt idx="39">
                  <c:v>2.1383476843222304</c:v>
                </c:pt>
                <c:pt idx="40">
                  <c:v>1.8120952359129274</c:v>
                </c:pt>
                <c:pt idx="41">
                  <c:v>1.6262531142267771</c:v>
                </c:pt>
                <c:pt idx="42">
                  <c:v>1.2604515797888656</c:v>
                </c:pt>
                <c:pt idx="43">
                  <c:v>1.1436309652393766</c:v>
                </c:pt>
                <c:pt idx="44">
                  <c:v>1.1685841752127575</c:v>
                </c:pt>
                <c:pt idx="45">
                  <c:v>1.0289080618245343</c:v>
                </c:pt>
                <c:pt idx="46">
                  <c:v>0.93958881961414764</c:v>
                </c:pt>
                <c:pt idx="47">
                  <c:v>1.0605564864296888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6-4B2B-9E19-AB1FF49F1B13}"/>
            </c:ext>
          </c:extLst>
        </c:ser>
        <c:ser>
          <c:idx val="4"/>
          <c:order val="2"/>
          <c:tx>
            <c:strRef>
              <c:f>'Граф 9 '!$X$3:$X$5</c:f>
              <c:strCache>
                <c:ptCount val="3"/>
                <c:pt idx="0">
                  <c:v>Жене</c:v>
                </c:pt>
                <c:pt idx="2">
                  <c:v>Неплаћени посао</c:v>
                </c:pt>
              </c:strCache>
            </c:strRef>
          </c:tx>
          <c:spPr>
            <a:ln w="19050" cap="rnd">
              <a:solidFill>
                <a:srgbClr val="D4A0D2"/>
              </a:solidFill>
              <a:round/>
            </a:ln>
            <a:effectLst/>
          </c:spPr>
          <c:marker>
            <c:symbol val="none"/>
          </c:marker>
          <c:cat>
            <c:strRef>
              <c:f>'Граф 9 '!$S$6:$S$53</c:f>
              <c:strCache>
                <c:ptCount val="48"/>
                <c:pt idx="0">
                  <c:v>4:00</c:v>
                </c:pt>
                <c:pt idx="4">
                  <c:v>6:00</c:v>
                </c:pt>
                <c:pt idx="8">
                  <c:v>8:00</c:v>
                </c:pt>
                <c:pt idx="12">
                  <c:v>10:00</c:v>
                </c:pt>
                <c:pt idx="16">
                  <c:v>12:00</c:v>
                </c:pt>
                <c:pt idx="20">
                  <c:v>14:00</c:v>
                </c:pt>
                <c:pt idx="24">
                  <c:v>16:00</c:v>
                </c:pt>
                <c:pt idx="28">
                  <c:v>18:00</c:v>
                </c:pt>
                <c:pt idx="32">
                  <c:v>20:00</c:v>
                </c:pt>
                <c:pt idx="36">
                  <c:v>22:00</c:v>
                </c:pt>
                <c:pt idx="40">
                  <c:v>00:00</c:v>
                </c:pt>
                <c:pt idx="44">
                  <c:v>2:00</c:v>
                </c:pt>
                <c:pt idx="47">
                  <c:v>3:30</c:v>
                </c:pt>
              </c:strCache>
            </c:strRef>
          </c:cat>
          <c:val>
            <c:numRef>
              <c:f>'Граф 9 '!$X$6:$X$53</c:f>
              <c:numCache>
                <c:formatCode>General</c:formatCode>
                <c:ptCount val="48"/>
                <c:pt idx="0">
                  <c:v>0.27376539349880086</c:v>
                </c:pt>
                <c:pt idx="1">
                  <c:v>0.23146133682439965</c:v>
                </c:pt>
                <c:pt idx="2">
                  <c:v>0.77473909808159991</c:v>
                </c:pt>
                <c:pt idx="3">
                  <c:v>1.4878991630163818</c:v>
                </c:pt>
                <c:pt idx="4">
                  <c:v>2.9880226944196115</c:v>
                </c:pt>
                <c:pt idx="5">
                  <c:v>4.8547050681283554</c:v>
                </c:pt>
                <c:pt idx="6">
                  <c:v>11.559977629164306</c:v>
                </c:pt>
                <c:pt idx="7">
                  <c:v>17.720081090032171</c:v>
                </c:pt>
                <c:pt idx="8">
                  <c:v>22.10482588294693</c:v>
                </c:pt>
                <c:pt idx="9">
                  <c:v>26.006522672321928</c:v>
                </c:pt>
                <c:pt idx="10">
                  <c:v>27.113854550390116</c:v>
                </c:pt>
                <c:pt idx="11">
                  <c:v>30.162994142188378</c:v>
                </c:pt>
                <c:pt idx="12">
                  <c:v>35.315002855947334</c:v>
                </c:pt>
                <c:pt idx="13">
                  <c:v>35.745209161284571</c:v>
                </c:pt>
                <c:pt idx="14">
                  <c:v>35.127011076618295</c:v>
                </c:pt>
                <c:pt idx="15">
                  <c:v>36.549069681320759</c:v>
                </c:pt>
                <c:pt idx="16">
                  <c:v>34.821290839435207</c:v>
                </c:pt>
                <c:pt idx="17">
                  <c:v>33.724879705988478</c:v>
                </c:pt>
                <c:pt idx="18">
                  <c:v>31.386529827419086</c:v>
                </c:pt>
                <c:pt idx="19">
                  <c:v>31.230657680633605</c:v>
                </c:pt>
                <c:pt idx="20">
                  <c:v>27.43691477590955</c:v>
                </c:pt>
                <c:pt idx="21">
                  <c:v>27.593111958672019</c:v>
                </c:pt>
                <c:pt idx="22">
                  <c:v>24.224863720580458</c:v>
                </c:pt>
                <c:pt idx="23">
                  <c:v>24.686567876817683</c:v>
                </c:pt>
                <c:pt idx="24">
                  <c:v>26.145391090018528</c:v>
                </c:pt>
                <c:pt idx="25">
                  <c:v>25.544483382429277</c:v>
                </c:pt>
                <c:pt idx="26">
                  <c:v>28.328020403816634</c:v>
                </c:pt>
                <c:pt idx="27">
                  <c:v>26.196076412926235</c:v>
                </c:pt>
                <c:pt idx="28">
                  <c:v>28.464661779302357</c:v>
                </c:pt>
                <c:pt idx="29">
                  <c:v>27.501042142185039</c:v>
                </c:pt>
                <c:pt idx="30">
                  <c:v>24.878204525299335</c:v>
                </c:pt>
                <c:pt idx="31">
                  <c:v>24.168118178004853</c:v>
                </c:pt>
                <c:pt idx="32">
                  <c:v>20.029702805491375</c:v>
                </c:pt>
                <c:pt idx="33">
                  <c:v>16.974050042653353</c:v>
                </c:pt>
                <c:pt idx="34">
                  <c:v>13.03883748875575</c:v>
                </c:pt>
                <c:pt idx="35">
                  <c:v>10.192949297808005</c:v>
                </c:pt>
                <c:pt idx="36">
                  <c:v>6.6497229123768387</c:v>
                </c:pt>
                <c:pt idx="37">
                  <c:v>3.9895634438313605</c:v>
                </c:pt>
                <c:pt idx="38">
                  <c:v>2.5648320495707058</c:v>
                </c:pt>
                <c:pt idx="39">
                  <c:v>1.2727544334337955</c:v>
                </c:pt>
                <c:pt idx="40">
                  <c:v>0.47546937616346407</c:v>
                </c:pt>
                <c:pt idx="41">
                  <c:v>0.38847480125782419</c:v>
                </c:pt>
                <c:pt idx="42">
                  <c:v>0.17450029432764858</c:v>
                </c:pt>
                <c:pt idx="43">
                  <c:v>0.1405637248055247</c:v>
                </c:pt>
                <c:pt idx="44">
                  <c:v>0.19792888325515143</c:v>
                </c:pt>
                <c:pt idx="45">
                  <c:v>6.6854929144980826E-2</c:v>
                </c:pt>
                <c:pt idx="46">
                  <c:v>0</c:v>
                </c:pt>
                <c:pt idx="47">
                  <c:v>8.3137548174766415E-2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6-4B2B-9E19-AB1FF49F1B13}"/>
            </c:ext>
          </c:extLst>
        </c:ser>
        <c:ser>
          <c:idx val="5"/>
          <c:order val="3"/>
          <c:tx>
            <c:strRef>
              <c:f>'Граф 9 '!$Y$3:$Y$5</c:f>
              <c:strCache>
                <c:ptCount val="3"/>
                <c:pt idx="0">
                  <c:v>Жене</c:v>
                </c:pt>
                <c:pt idx="2">
                  <c:v>Укупан посао</c:v>
                </c:pt>
              </c:strCache>
            </c:strRef>
          </c:tx>
          <c:spPr>
            <a:ln w="28575" cap="rnd">
              <a:solidFill>
                <a:srgbClr val="D4A0D2"/>
              </a:solidFill>
              <a:round/>
            </a:ln>
            <a:effectLst/>
          </c:spPr>
          <c:marker>
            <c:symbol val="none"/>
          </c:marker>
          <c:cat>
            <c:strRef>
              <c:f>'Граф 9 '!$S$6:$S$53</c:f>
              <c:strCache>
                <c:ptCount val="48"/>
                <c:pt idx="0">
                  <c:v>4:00</c:v>
                </c:pt>
                <c:pt idx="4">
                  <c:v>6:00</c:v>
                </c:pt>
                <c:pt idx="8">
                  <c:v>8:00</c:v>
                </c:pt>
                <c:pt idx="12">
                  <c:v>10:00</c:v>
                </c:pt>
                <c:pt idx="16">
                  <c:v>12:00</c:v>
                </c:pt>
                <c:pt idx="20">
                  <c:v>14:00</c:v>
                </c:pt>
                <c:pt idx="24">
                  <c:v>16:00</c:v>
                </c:pt>
                <c:pt idx="28">
                  <c:v>18:00</c:v>
                </c:pt>
                <c:pt idx="32">
                  <c:v>20:00</c:v>
                </c:pt>
                <c:pt idx="36">
                  <c:v>22:00</c:v>
                </c:pt>
                <c:pt idx="40">
                  <c:v>00:00</c:v>
                </c:pt>
                <c:pt idx="44">
                  <c:v>2:00</c:v>
                </c:pt>
                <c:pt idx="47">
                  <c:v>3:30</c:v>
                </c:pt>
              </c:strCache>
            </c:strRef>
          </c:cat>
          <c:val>
            <c:numRef>
              <c:f>'Граф 9 '!$Y$6:$Y$53</c:f>
              <c:numCache>
                <c:formatCode>General</c:formatCode>
                <c:ptCount val="48"/>
                <c:pt idx="0">
                  <c:v>0.62078702164105126</c:v>
                </c:pt>
                <c:pt idx="1">
                  <c:v>0.67277475423257338</c:v>
                </c:pt>
                <c:pt idx="2">
                  <c:v>2.2048336952910015</c:v>
                </c:pt>
                <c:pt idx="3">
                  <c:v>4.7127507887666109</c:v>
                </c:pt>
                <c:pt idx="4">
                  <c:v>9.7044516753878991</c:v>
                </c:pt>
                <c:pt idx="5">
                  <c:v>16.935031300228516</c:v>
                </c:pt>
                <c:pt idx="6">
                  <c:v>29.82737309817416</c:v>
                </c:pt>
                <c:pt idx="7">
                  <c:v>40.237939557821299</c:v>
                </c:pt>
                <c:pt idx="8">
                  <c:v>49.785360450479445</c:v>
                </c:pt>
                <c:pt idx="9">
                  <c:v>55.081686735251132</c:v>
                </c:pt>
                <c:pt idx="10">
                  <c:v>55.849970957826343</c:v>
                </c:pt>
                <c:pt idx="11">
                  <c:v>60.913251722184683</c:v>
                </c:pt>
                <c:pt idx="12">
                  <c:v>60.431957820988956</c:v>
                </c:pt>
                <c:pt idx="13">
                  <c:v>66.231382190980398</c:v>
                </c:pt>
                <c:pt idx="14">
                  <c:v>66.608696883545448</c:v>
                </c:pt>
                <c:pt idx="15">
                  <c:v>70.868062395348758</c:v>
                </c:pt>
                <c:pt idx="16">
                  <c:v>69.904857870131792</c:v>
                </c:pt>
                <c:pt idx="17">
                  <c:v>70.951792048056376</c:v>
                </c:pt>
                <c:pt idx="18">
                  <c:v>64.946000902798048</c:v>
                </c:pt>
                <c:pt idx="19">
                  <c:v>65.810323491225503</c:v>
                </c:pt>
                <c:pt idx="20">
                  <c:v>60.674436830802328</c:v>
                </c:pt>
                <c:pt idx="21">
                  <c:v>58.877850374520023</c:v>
                </c:pt>
                <c:pt idx="22">
                  <c:v>52.787977612608607</c:v>
                </c:pt>
                <c:pt idx="23">
                  <c:v>48.009183689685194</c:v>
                </c:pt>
                <c:pt idx="24">
                  <c:v>45.660412843607503</c:v>
                </c:pt>
                <c:pt idx="25">
                  <c:v>41.845643052822226</c:v>
                </c:pt>
                <c:pt idx="26">
                  <c:v>42.344081685476951</c:v>
                </c:pt>
                <c:pt idx="27">
                  <c:v>38.630456167851392</c:v>
                </c:pt>
                <c:pt idx="28">
                  <c:v>38.017448747021355</c:v>
                </c:pt>
                <c:pt idx="29">
                  <c:v>36.776337999593991</c:v>
                </c:pt>
                <c:pt idx="30">
                  <c:v>32.179131033973306</c:v>
                </c:pt>
                <c:pt idx="31">
                  <c:v>30.925714877120587</c:v>
                </c:pt>
                <c:pt idx="32">
                  <c:v>26.357686226579673</c:v>
                </c:pt>
                <c:pt idx="33">
                  <c:v>22.857221432296786</c:v>
                </c:pt>
                <c:pt idx="34">
                  <c:v>17.818528541359065</c:v>
                </c:pt>
                <c:pt idx="35">
                  <c:v>15.333201264177413</c:v>
                </c:pt>
                <c:pt idx="36">
                  <c:v>11.021337955303142</c:v>
                </c:pt>
                <c:pt idx="37">
                  <c:v>6.8287787998157707</c:v>
                </c:pt>
                <c:pt idx="38">
                  <c:v>5.0038439270172024</c:v>
                </c:pt>
                <c:pt idx="39">
                  <c:v>3.0909590433697418</c:v>
                </c:pt>
                <c:pt idx="40">
                  <c:v>1.4337364327846627</c:v>
                </c:pt>
                <c:pt idx="41">
                  <c:v>1.1063423844536135</c:v>
                </c:pt>
                <c:pt idx="42">
                  <c:v>0.40678796095934017</c:v>
                </c:pt>
                <c:pt idx="43">
                  <c:v>0.3728513914372163</c:v>
                </c:pt>
                <c:pt idx="44">
                  <c:v>0.39773115239012757</c:v>
                </c:pt>
                <c:pt idx="45">
                  <c:v>0.18351965010519056</c:v>
                </c:pt>
                <c:pt idx="46">
                  <c:v>0.11666472096020972</c:v>
                </c:pt>
                <c:pt idx="47">
                  <c:v>0.19980226913497617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6-4B2B-9E19-AB1FF49F1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054464"/>
        <c:axId val="1099058816"/>
      </c:lineChart>
      <c:catAx>
        <c:axId val="1099054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8816"/>
        <c:crosses val="autoZero"/>
        <c:auto val="1"/>
        <c:lblAlgn val="ctr"/>
        <c:lblOffset val="100"/>
        <c:noMultiLvlLbl val="0"/>
      </c:catAx>
      <c:valAx>
        <c:axId val="1099058816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4464"/>
        <c:crosses val="autoZero"/>
        <c:crossBetween val="between"/>
        <c:majorUnit val="2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5442740438632045E-2"/>
          <c:y val="0.87976152980877387"/>
          <c:w val="0.85455716197481357"/>
          <c:h val="0.101190851143607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304047280548264"/>
          <c:y val="0.14466726815398079"/>
          <c:w val="0.49102576370661999"/>
          <c:h val="0.49102576370661999"/>
        </c:manualLayout>
      </c:layout>
      <c:pieChart>
        <c:varyColors val="1"/>
        <c:ser>
          <c:idx val="0"/>
          <c:order val="0"/>
          <c:tx>
            <c:strRef>
              <c:f>'Граф 10'!$B$31</c:f>
              <c:strCache>
                <c:ptCount val="1"/>
                <c:pt idx="0">
                  <c:v>Жене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64-4FB1-868F-BD5AB4D0828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64-4FB1-868F-BD5AB4D0828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64-4FB1-868F-BD5AB4D0828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64-4FB1-868F-BD5AB4D0828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64-4FB1-868F-BD5AB4D0828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64-4FB1-868F-BD5AB4D0828B}"/>
              </c:ext>
            </c:extLst>
          </c:dPt>
          <c:dLbls>
            <c:dLbl>
              <c:idx val="0"/>
              <c:layout>
                <c:manualLayout>
                  <c:x val="-9.7715031714785655E-2"/>
                  <c:y val="-0.10789998906386701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64-4FB1-868F-BD5AB4D0828B}"/>
                </c:ext>
              </c:extLst>
            </c:dLbl>
            <c:dLbl>
              <c:idx val="1"/>
              <c:layout>
                <c:manualLayout>
                  <c:x val="5.62063693861184E-2"/>
                  <c:y val="7.444795312044327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4-4FB1-868F-BD5AB4D0828B}"/>
                </c:ext>
              </c:extLst>
            </c:dLbl>
            <c:dLbl>
              <c:idx val="2"/>
              <c:layout>
                <c:manualLayout>
                  <c:x val="-9.1847568533100027E-2"/>
                  <c:y val="9.956665573053354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4-4FB1-868F-BD5AB4D0828B}"/>
                </c:ext>
              </c:extLst>
            </c:dLbl>
            <c:dLbl>
              <c:idx val="3"/>
              <c:layout>
                <c:manualLayout>
                  <c:x val="-4.0319016112569266E-2"/>
                  <c:y val="-3.76772564887722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4-4FB1-868F-BD5AB4D082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'Граф 10'!$A$32:$A$37</c:f>
              <c:strCache>
                <c:ptCount val="6"/>
                <c:pt idx="0">
                  <c:v>Радно место / школа</c:v>
                </c:pt>
                <c:pt idx="1">
                  <c:v>Кућа</c:v>
                </c:pt>
                <c:pt idx="2">
                  <c:v>Остала места / превозно средство</c:v>
                </c:pt>
                <c:pt idx="3">
                  <c:v>Неодређено место /превозно средство</c:v>
                </c:pt>
                <c:pt idx="4">
                  <c:v>Кућа других људи</c:v>
                </c:pt>
                <c:pt idx="5">
                  <c:v>Ресторан / хотел / самопослуга</c:v>
                </c:pt>
              </c:strCache>
            </c:strRef>
          </c:cat>
          <c:val>
            <c:numRef>
              <c:f>'Граф 10'!$B$32:$B$37</c:f>
              <c:numCache>
                <c:formatCode>0.0</c:formatCode>
                <c:ptCount val="6"/>
                <c:pt idx="0">
                  <c:v>87.899182230045326</c:v>
                </c:pt>
                <c:pt idx="1">
                  <c:v>8.9748527136631679</c:v>
                </c:pt>
                <c:pt idx="2">
                  <c:v>1.5972784691221455</c:v>
                </c:pt>
                <c:pt idx="3">
                  <c:v>0.99869492301305507</c:v>
                </c:pt>
                <c:pt idx="4">
                  <c:v>0.43314979444902751</c:v>
                </c:pt>
                <c:pt idx="5">
                  <c:v>9.5755746503214278E-2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71-4FA3-B92C-BDB69B0BF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411080125400992"/>
          <c:y val="0.67664725503062118"/>
          <c:w val="0.82675502150772817"/>
          <c:h val="0.2973110783027121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320492490522024"/>
          <c:y val="0.16017948928258968"/>
          <c:w val="0.48535196121318169"/>
          <c:h val="0.48535196121318169"/>
        </c:manualLayout>
      </c:layout>
      <c:pieChart>
        <c:varyColors val="1"/>
        <c:ser>
          <c:idx val="0"/>
          <c:order val="0"/>
          <c:tx>
            <c:strRef>
              <c:f>'Граф 10'!$C$31</c:f>
              <c:strCache>
                <c:ptCount val="1"/>
                <c:pt idx="0">
                  <c:v>Мушкарци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9FB-4A08-8712-E06A2C8EE3D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9FB-4A08-8712-E06A2C8EE3D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9FB-4A08-8712-E06A2C8EE3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9FB-4A08-8712-E06A2C8EE3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9FB-4A08-8712-E06A2C8EE3D4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9FB-4A08-8712-E06A2C8EE3D4}"/>
              </c:ext>
            </c:extLst>
          </c:dPt>
          <c:dLbls>
            <c:dLbl>
              <c:idx val="0"/>
              <c:layout>
                <c:manualLayout>
                  <c:x val="-9.0951033464566927E-2"/>
                  <c:y val="-8.565156568970545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FB-4A08-8712-E06A2C8EE3D4}"/>
                </c:ext>
              </c:extLst>
            </c:dLbl>
            <c:dLbl>
              <c:idx val="1"/>
              <c:layout>
                <c:manualLayout>
                  <c:x val="8.1951279527559054E-2"/>
                  <c:y val="7.31310604403616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FB-4A08-8712-E06A2C8EE3D4}"/>
                </c:ext>
              </c:extLst>
            </c:dLbl>
            <c:dLbl>
              <c:idx val="3"/>
              <c:layout>
                <c:manualLayout>
                  <c:x val="-4.8684930008748961E-2"/>
                  <c:y val="-6.888396762904636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FB-4A08-8712-E06A2C8EE3D4}"/>
                </c:ext>
              </c:extLst>
            </c:dLbl>
            <c:dLbl>
              <c:idx val="4"/>
              <c:layout>
                <c:manualLayout>
                  <c:x val="2.1445984616506323E-2"/>
                  <c:y val="-1.7988799577136193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0963427748614763E-2"/>
                      <c:h val="4.335948891805190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9FB-4A08-8712-E06A2C8EE3D4}"/>
                </c:ext>
              </c:extLst>
            </c:dLbl>
            <c:dLbl>
              <c:idx val="5"/>
              <c:layout>
                <c:manualLayout>
                  <c:x val="9.9909321230679499E-2"/>
                  <c:y val="-3.70757691746866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FB-4A08-8712-E06A2C8EE3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'Граф 10'!$A$32:$A$37</c:f>
              <c:strCache>
                <c:ptCount val="6"/>
                <c:pt idx="0">
                  <c:v>Радно место / школа</c:v>
                </c:pt>
                <c:pt idx="1">
                  <c:v>Кућа</c:v>
                </c:pt>
                <c:pt idx="2">
                  <c:v>Остала места / превозно средство</c:v>
                </c:pt>
                <c:pt idx="3">
                  <c:v>Неодређено место /превозно средство</c:v>
                </c:pt>
                <c:pt idx="4">
                  <c:v>Кућа других људи</c:v>
                </c:pt>
                <c:pt idx="5">
                  <c:v>Ресторан / хотел / самопослуга</c:v>
                </c:pt>
              </c:strCache>
            </c:strRef>
          </c:cat>
          <c:val>
            <c:numRef>
              <c:f>'Граф 10'!$C$32:$C$37</c:f>
              <c:numCache>
                <c:formatCode>0.0</c:formatCode>
                <c:ptCount val="6"/>
                <c:pt idx="0">
                  <c:v>83.034409296892491</c:v>
                </c:pt>
                <c:pt idx="1">
                  <c:v>10.298210106877349</c:v>
                </c:pt>
                <c:pt idx="2">
                  <c:v>3.7858244302481596</c:v>
                </c:pt>
                <c:pt idx="3">
                  <c:v>1.284098045998757</c:v>
                </c:pt>
                <c:pt idx="4">
                  <c:v>1.0468402537006749</c:v>
                </c:pt>
                <c:pt idx="5">
                  <c:v>0.55111391003156451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48-40EC-92D3-7058432D1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007208734324879"/>
          <c:y val="0.68894949329250521"/>
          <c:w val="0.75419833588509766"/>
          <c:h val="0.2886523950131233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2682437020392"/>
          <c:y val="5.7434451955279242E-2"/>
          <c:w val="0.84371075654177796"/>
          <c:h val="0.6758953730937065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1'!$A$5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'Граф 1'!$B$4:$D$4</c:f>
              <c:strCache>
                <c:ptCount val="3"/>
                <c:pt idx="0">
                  <c:v>Укупно</c:v>
                </c:pt>
                <c:pt idx="1">
                  <c:v>Мушкарци</c:v>
                </c:pt>
                <c:pt idx="2">
                  <c:v>Жене</c:v>
                </c:pt>
              </c:strCache>
            </c:strRef>
          </c:cat>
          <c:val>
            <c:numRef>
              <c:f>'Граф 1'!$B$5:$D$5</c:f>
              <c:numCache>
                <c:formatCode>0.0</c:formatCode>
                <c:ptCount val="3"/>
                <c:pt idx="0">
                  <c:v>3.1391966455254927</c:v>
                </c:pt>
                <c:pt idx="1">
                  <c:v>3.9451722204718398</c:v>
                </c:pt>
                <c:pt idx="2">
                  <c:v>2.3886482204934913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C-4EF9-88EF-06F12DEC8811}"/>
            </c:ext>
          </c:extLst>
        </c:ser>
        <c:ser>
          <c:idx val="1"/>
          <c:order val="1"/>
          <c:tx>
            <c:strRef>
              <c:f>'Граф 1'!$A$6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'Граф 1'!$B$4:$D$4</c:f>
              <c:strCache>
                <c:ptCount val="3"/>
                <c:pt idx="0">
                  <c:v>Укупно</c:v>
                </c:pt>
                <c:pt idx="1">
                  <c:v>Мушкарци</c:v>
                </c:pt>
                <c:pt idx="2">
                  <c:v>Жене</c:v>
                </c:pt>
              </c:strCache>
            </c:strRef>
          </c:cat>
          <c:val>
            <c:numRef>
              <c:f>'Граф 1'!$B$6:$D$6</c:f>
              <c:numCache>
                <c:formatCode>0.0</c:formatCode>
                <c:ptCount val="3"/>
                <c:pt idx="0">
                  <c:v>3.1387876137305795</c:v>
                </c:pt>
                <c:pt idx="1">
                  <c:v>2.0526517619618265</c:v>
                </c:pt>
                <c:pt idx="2">
                  <c:v>4.150229620481368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C-4EF9-88EF-06F12DEC8811}"/>
            </c:ext>
          </c:extLst>
        </c:ser>
        <c:ser>
          <c:idx val="2"/>
          <c:order val="2"/>
          <c:tx>
            <c:strRef>
              <c:f>'Граф 1'!$A$7</c:f>
              <c:strCache>
                <c:ptCount val="1"/>
                <c:pt idx="0">
                  <c:v>Учење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'Граф 1'!$B$4:$D$4</c:f>
              <c:strCache>
                <c:ptCount val="3"/>
                <c:pt idx="0">
                  <c:v>Укупно</c:v>
                </c:pt>
                <c:pt idx="1">
                  <c:v>Мушкарци</c:v>
                </c:pt>
                <c:pt idx="2">
                  <c:v>Жене</c:v>
                </c:pt>
              </c:strCache>
            </c:strRef>
          </c:cat>
          <c:val>
            <c:numRef>
              <c:f>'Граф 1'!$B$7:$D$7</c:f>
              <c:numCache>
                <c:formatCode>0.0</c:formatCode>
                <c:ptCount val="3"/>
                <c:pt idx="0">
                  <c:v>0.42436259064506221</c:v>
                </c:pt>
                <c:pt idx="1">
                  <c:v>0.41376377242835355</c:v>
                </c:pt>
                <c:pt idx="2">
                  <c:v>0.43423252537637441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FAC-4EF9-88EF-06F12DEC8811}"/>
            </c:ext>
          </c:extLst>
        </c:ser>
        <c:ser>
          <c:idx val="3"/>
          <c:order val="3"/>
          <c:tx>
            <c:strRef>
              <c:f>'Граф 1'!$A$8</c:f>
              <c:strCache>
                <c:ptCount val="1"/>
                <c:pt idx="0">
                  <c:v>Личне потребе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'Граф 1'!$B$4:$D$4</c:f>
              <c:strCache>
                <c:ptCount val="3"/>
                <c:pt idx="0">
                  <c:v>Укупно</c:v>
                </c:pt>
                <c:pt idx="1">
                  <c:v>Мушкарци</c:v>
                </c:pt>
                <c:pt idx="2">
                  <c:v>Жене</c:v>
                </c:pt>
              </c:strCache>
            </c:strRef>
          </c:cat>
          <c:val>
            <c:numRef>
              <c:f>'Граф 1'!$B$8:$D$8</c:f>
              <c:numCache>
                <c:formatCode>0.0</c:formatCode>
                <c:ptCount val="3"/>
                <c:pt idx="0">
                  <c:v>11.471261423802728</c:v>
                </c:pt>
                <c:pt idx="1">
                  <c:v>11.373848817161685</c:v>
                </c:pt>
                <c:pt idx="2">
                  <c:v>11.561974940149153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FAC-4EF9-88EF-06F12DEC8811}"/>
            </c:ext>
          </c:extLst>
        </c:ser>
        <c:ser>
          <c:idx val="4"/>
          <c:order val="4"/>
          <c:tx>
            <c:strRef>
              <c:f>'Граф 1'!$A$9</c:f>
              <c:strCache>
                <c:ptCount val="1"/>
                <c:pt idx="0">
                  <c:v>Слоодно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'Граф 1'!$B$4:$D$4</c:f>
              <c:strCache>
                <c:ptCount val="3"/>
                <c:pt idx="0">
                  <c:v>Укупно</c:v>
                </c:pt>
                <c:pt idx="1">
                  <c:v>Мушкарци</c:v>
                </c:pt>
                <c:pt idx="2">
                  <c:v>Жене</c:v>
                </c:pt>
              </c:strCache>
            </c:strRef>
          </c:cat>
          <c:val>
            <c:numRef>
              <c:f>'Граф 1'!$B$9:$D$9</c:f>
              <c:numCache>
                <c:formatCode>0.0</c:formatCode>
                <c:ptCount val="3"/>
                <c:pt idx="0">
                  <c:v>5.8084752742357457</c:v>
                </c:pt>
                <c:pt idx="1">
                  <c:v>6.1912104470973635</c:v>
                </c:pt>
                <c:pt idx="2">
                  <c:v>5.4520608987569403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FAC-4EF9-88EF-06F12DEC8811}"/>
            </c:ext>
          </c:extLst>
        </c:ser>
        <c:ser>
          <c:idx val="5"/>
          <c:order val="5"/>
          <c:tx>
            <c:strRef>
              <c:f>'Граф 1'!$A$10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'Граф 1'!$B$4:$D$4</c:f>
              <c:strCache>
                <c:ptCount val="3"/>
                <c:pt idx="0">
                  <c:v>Укупно</c:v>
                </c:pt>
                <c:pt idx="1">
                  <c:v>Мушкарци</c:v>
                </c:pt>
                <c:pt idx="2">
                  <c:v>Жене</c:v>
                </c:pt>
              </c:strCache>
            </c:strRef>
          </c:cat>
          <c:val>
            <c:numRef>
              <c:f>'Граф 1'!$B$10:$D$10</c:f>
              <c:numCache>
                <c:formatCode>0.0</c:formatCode>
                <c:ptCount val="3"/>
                <c:pt idx="0">
                  <c:v>1.7916452060390615E-2</c:v>
                </c:pt>
                <c:pt idx="1">
                  <c:v>2.3352980878957815E-2</c:v>
                </c:pt>
                <c:pt idx="2">
                  <c:v>1.2853794742656901E-2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FAC-4EF9-88EF-06F12DEC88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5467536"/>
        <c:axId val="1055461008"/>
      </c:barChart>
      <c:catAx>
        <c:axId val="10554675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1008"/>
        <c:crosses val="autoZero"/>
        <c:auto val="1"/>
        <c:lblAlgn val="ctr"/>
        <c:lblOffset val="100"/>
        <c:noMultiLvlLbl val="0"/>
      </c:catAx>
      <c:valAx>
        <c:axId val="105546100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7536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1748065846426502"/>
          <c:y val="0.86164176195906994"/>
          <c:w val="0.86005700870139712"/>
          <c:h val="0.104175780110819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999697290213214E-2"/>
          <c:y val="9.3753574920781957E-2"/>
          <c:w val="0.93010252958543005"/>
          <c:h val="0.69125275590551183"/>
        </c:manualLayout>
      </c:layout>
      <c:lineChart>
        <c:grouping val="standard"/>
        <c:varyColors val="0"/>
        <c:ser>
          <c:idx val="0"/>
          <c:order val="0"/>
          <c:tx>
            <c:strRef>
              <c:f>'Граф 11'!$J$4</c:f>
              <c:strCache>
                <c:ptCount val="1"/>
                <c:pt idx="0">
                  <c:v>Жене</c:v>
                </c:pt>
              </c:strCache>
            </c:strRef>
          </c:tx>
          <c:spPr>
            <a:ln>
              <a:solidFill>
                <a:srgbClr val="C150C4"/>
              </a:solidFill>
            </a:ln>
          </c:spPr>
          <c:marker>
            <c:symbol val="none"/>
          </c:marker>
          <c:cat>
            <c:numRef>
              <c:f>'Граф 11'!$I$5:$I$40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11'!$J$5:$J$40</c:f>
              <c:numCache>
                <c:formatCode>0.0</c:formatCode>
                <c:ptCount val="36"/>
                <c:pt idx="0">
                  <c:v>33.224875672515736</c:v>
                </c:pt>
                <c:pt idx="1">
                  <c:v>34.568035780935475</c:v>
                </c:pt>
                <c:pt idx="2">
                  <c:v>36.21235943608702</c:v>
                </c:pt>
                <c:pt idx="3">
                  <c:v>35.557832142899244</c:v>
                </c:pt>
                <c:pt idx="4">
                  <c:v>34.917556828343763</c:v>
                </c:pt>
                <c:pt idx="5">
                  <c:v>32.340524082190704</c:v>
                </c:pt>
                <c:pt idx="6">
                  <c:v>33.452319434145203</c:v>
                </c:pt>
                <c:pt idx="7">
                  <c:v>33.853757809872398</c:v>
                </c:pt>
                <c:pt idx="8">
                  <c:v>29.219705341700159</c:v>
                </c:pt>
                <c:pt idx="9">
                  <c:v>28.161677533331869</c:v>
                </c:pt>
                <c:pt idx="10">
                  <c:v>29.289911436064358</c:v>
                </c:pt>
                <c:pt idx="11">
                  <c:v>32.116712098942806</c:v>
                </c:pt>
                <c:pt idx="12">
                  <c:v>31.360360561982787</c:v>
                </c:pt>
                <c:pt idx="13">
                  <c:v>30.223784176830765</c:v>
                </c:pt>
                <c:pt idx="14">
                  <c:v>30.368821035262961</c:v>
                </c:pt>
                <c:pt idx="15">
                  <c:v>33.774587854779654</c:v>
                </c:pt>
                <c:pt idx="16">
                  <c:v>34.036225191772814</c:v>
                </c:pt>
                <c:pt idx="17">
                  <c:v>35.064831876477918</c:v>
                </c:pt>
                <c:pt idx="18">
                  <c:v>32.092441603501889</c:v>
                </c:pt>
                <c:pt idx="19">
                  <c:v>30.135424787239394</c:v>
                </c:pt>
                <c:pt idx="20">
                  <c:v>27.971143102221912</c:v>
                </c:pt>
                <c:pt idx="21">
                  <c:v>29.695396397110258</c:v>
                </c:pt>
                <c:pt idx="22">
                  <c:v>27.495087557180415</c:v>
                </c:pt>
                <c:pt idx="23">
                  <c:v>24.436896703649669</c:v>
                </c:pt>
                <c:pt idx="24">
                  <c:v>24.864022824293329</c:v>
                </c:pt>
                <c:pt idx="25">
                  <c:v>22.774830385414592</c:v>
                </c:pt>
                <c:pt idx="26">
                  <c:v>24.133878736505661</c:v>
                </c:pt>
                <c:pt idx="27">
                  <c:v>19.263738449617588</c:v>
                </c:pt>
                <c:pt idx="28">
                  <c:v>17.831165999939969</c:v>
                </c:pt>
                <c:pt idx="29">
                  <c:v>17.23039195865293</c:v>
                </c:pt>
                <c:pt idx="30">
                  <c:v>13.461758505458329</c:v>
                </c:pt>
                <c:pt idx="31">
                  <c:v>13.041123843969768</c:v>
                </c:pt>
                <c:pt idx="32">
                  <c:v>12.708350171903559</c:v>
                </c:pt>
                <c:pt idx="33">
                  <c:v>11.293536516839119</c:v>
                </c:pt>
                <c:pt idx="34">
                  <c:v>9.4923416601201325</c:v>
                </c:pt>
                <c:pt idx="35">
                  <c:v>6.2996933978770544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17-45A9-8F82-61E338FDD53B}"/>
            </c:ext>
          </c:extLst>
        </c:ser>
        <c:ser>
          <c:idx val="1"/>
          <c:order val="1"/>
          <c:tx>
            <c:strRef>
              <c:f>'Граф 11'!$K$4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'Граф 11'!$I$5:$I$40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11'!$K$5:$K$40</c:f>
              <c:numCache>
                <c:formatCode>0.0</c:formatCode>
                <c:ptCount val="36"/>
                <c:pt idx="0">
                  <c:v>20.697093576563166</c:v>
                </c:pt>
                <c:pt idx="1">
                  <c:v>21.245320834594569</c:v>
                </c:pt>
                <c:pt idx="2">
                  <c:v>17.693885561980402</c:v>
                </c:pt>
                <c:pt idx="3">
                  <c:v>15.346043702323033</c:v>
                </c:pt>
                <c:pt idx="4">
                  <c:v>13.82452133206446</c:v>
                </c:pt>
                <c:pt idx="5">
                  <c:v>13.58869387428614</c:v>
                </c:pt>
                <c:pt idx="6">
                  <c:v>14.87066443076823</c:v>
                </c:pt>
                <c:pt idx="7">
                  <c:v>15.764047869470016</c:v>
                </c:pt>
                <c:pt idx="8">
                  <c:v>13.768400551601214</c:v>
                </c:pt>
                <c:pt idx="9">
                  <c:v>15.813975440560862</c:v>
                </c:pt>
                <c:pt idx="10">
                  <c:v>14.975137721980477</c:v>
                </c:pt>
                <c:pt idx="11">
                  <c:v>17.111232942105143</c:v>
                </c:pt>
                <c:pt idx="12">
                  <c:v>18.083906355355911</c:v>
                </c:pt>
                <c:pt idx="13">
                  <c:v>17.918304264490082</c:v>
                </c:pt>
                <c:pt idx="14">
                  <c:v>17.851159577899832</c:v>
                </c:pt>
                <c:pt idx="15">
                  <c:v>18.135156754087799</c:v>
                </c:pt>
                <c:pt idx="16">
                  <c:v>17.869790068992838</c:v>
                </c:pt>
                <c:pt idx="17">
                  <c:v>18.15933658080942</c:v>
                </c:pt>
                <c:pt idx="18">
                  <c:v>17.861866671104345</c:v>
                </c:pt>
                <c:pt idx="19">
                  <c:v>15.674346396724085</c:v>
                </c:pt>
                <c:pt idx="20">
                  <c:v>14.507081599161515</c:v>
                </c:pt>
                <c:pt idx="21">
                  <c:v>13.135068699301039</c:v>
                </c:pt>
                <c:pt idx="22">
                  <c:v>12.59060746701199</c:v>
                </c:pt>
                <c:pt idx="23">
                  <c:v>12.477095709801388</c:v>
                </c:pt>
                <c:pt idx="24">
                  <c:v>11.22611505164596</c:v>
                </c:pt>
                <c:pt idx="25">
                  <c:v>9.2451849044540584</c:v>
                </c:pt>
                <c:pt idx="26">
                  <c:v>7.7346033345909042</c:v>
                </c:pt>
                <c:pt idx="27">
                  <c:v>6.0052013845376377</c:v>
                </c:pt>
                <c:pt idx="28">
                  <c:v>5.6991103873527189</c:v>
                </c:pt>
                <c:pt idx="29">
                  <c:v>4.7674527788335013</c:v>
                </c:pt>
                <c:pt idx="30">
                  <c:v>3.763837948900512</c:v>
                </c:pt>
                <c:pt idx="31">
                  <c:v>3.0937302824163435</c:v>
                </c:pt>
                <c:pt idx="32">
                  <c:v>3.6189236929566682</c:v>
                </c:pt>
                <c:pt idx="33">
                  <c:v>2.98180359930668</c:v>
                </c:pt>
                <c:pt idx="34">
                  <c:v>1.7656763267465621</c:v>
                </c:pt>
                <c:pt idx="35">
                  <c:v>1.8743180342609875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7-45A9-8F82-61E338FDD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2880"/>
        <c:axId val="73804416"/>
      </c:lineChart>
      <c:catAx>
        <c:axId val="738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3804416"/>
        <c:crosses val="autoZero"/>
        <c:auto val="1"/>
        <c:lblAlgn val="ctr"/>
        <c:lblOffset val="100"/>
        <c:noMultiLvlLbl val="0"/>
      </c:catAx>
      <c:valAx>
        <c:axId val="73804416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/>
            </a:pPr>
            <a:endParaRPr lang="en-US"/>
          </a:p>
        </c:txPr>
        <c:crossAx val="73802880"/>
        <c:crossesAt val="1"/>
        <c:crossBetween val="midCat"/>
        <c:majorUnit val="10"/>
      </c:valAx>
      <c:spPr>
        <a:ln>
          <a:solidFill>
            <a:sysClr val="window" lastClr="FFFFFF">
              <a:lumMod val="65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728890796690133"/>
          <c:y val="0.90057742782152239"/>
          <c:w val="0.25437194841825228"/>
          <c:h val="6.7536557930258714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999697290213214E-2"/>
          <c:y val="6.306301226413194E-2"/>
          <c:w val="0.93010252958543005"/>
          <c:h val="0.71542998301682881"/>
        </c:manualLayout>
      </c:layout>
      <c:lineChart>
        <c:grouping val="standard"/>
        <c:varyColors val="0"/>
        <c:ser>
          <c:idx val="0"/>
          <c:order val="0"/>
          <c:tx>
            <c:strRef>
              <c:f>'Граф 12'!$J$4</c:f>
              <c:strCache>
                <c:ptCount val="1"/>
                <c:pt idx="0">
                  <c:v>Жене</c:v>
                </c:pt>
              </c:strCache>
            </c:strRef>
          </c:tx>
          <c:spPr>
            <a:ln>
              <a:solidFill>
                <a:srgbClr val="C150C4"/>
              </a:solidFill>
            </a:ln>
          </c:spPr>
          <c:marker>
            <c:symbol val="none"/>
          </c:marker>
          <c:cat>
            <c:numRef>
              <c:f>'Граф 12'!$I$5:$I$40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12'!$J$5:$J$40</c:f>
              <c:numCache>
                <c:formatCode>0.0</c:formatCode>
                <c:ptCount val="36"/>
                <c:pt idx="0">
                  <c:v>14.687028556749596</c:v>
                </c:pt>
                <c:pt idx="1">
                  <c:v>27.420009571302089</c:v>
                </c:pt>
                <c:pt idx="2">
                  <c:v>34.956860421699538</c:v>
                </c:pt>
                <c:pt idx="3">
                  <c:v>37.057749743075668</c:v>
                </c:pt>
                <c:pt idx="4">
                  <c:v>35.76543794516261</c:v>
                </c:pt>
                <c:pt idx="5">
                  <c:v>34.354115590049766</c:v>
                </c:pt>
                <c:pt idx="6">
                  <c:v>29.217271867150817</c:v>
                </c:pt>
                <c:pt idx="7">
                  <c:v>26.845172470340508</c:v>
                </c:pt>
                <c:pt idx="8">
                  <c:v>29.144803274588654</c:v>
                </c:pt>
                <c:pt idx="9">
                  <c:v>27.065353662768793</c:v>
                </c:pt>
                <c:pt idx="10">
                  <c:v>23.529891998756945</c:v>
                </c:pt>
                <c:pt idx="11">
                  <c:v>18.884395108176975</c:v>
                </c:pt>
                <c:pt idx="12">
                  <c:v>14.02737865151647</c:v>
                </c:pt>
                <c:pt idx="13">
                  <c:v>11.920317724732017</c:v>
                </c:pt>
                <c:pt idx="14">
                  <c:v>8.5644726288436299</c:v>
                </c:pt>
                <c:pt idx="15">
                  <c:v>8.8057998968694058</c:v>
                </c:pt>
                <c:pt idx="16">
                  <c:v>7.3938494092795866</c:v>
                </c:pt>
                <c:pt idx="17">
                  <c:v>7.3716602460485001</c:v>
                </c:pt>
                <c:pt idx="18">
                  <c:v>8.306326070196473</c:v>
                </c:pt>
                <c:pt idx="19">
                  <c:v>8.4374159287016504</c:v>
                </c:pt>
                <c:pt idx="20">
                  <c:v>7.1100446296089972</c:v>
                </c:pt>
                <c:pt idx="21">
                  <c:v>6.8092339217690077</c:v>
                </c:pt>
                <c:pt idx="22">
                  <c:v>7.654150317447729</c:v>
                </c:pt>
                <c:pt idx="23">
                  <c:v>10.449939495239276</c:v>
                </c:pt>
                <c:pt idx="24">
                  <c:v>9.946512932249691</c:v>
                </c:pt>
                <c:pt idx="25">
                  <c:v>11.247246903815721</c:v>
                </c:pt>
                <c:pt idx="26">
                  <c:v>10.697954046118893</c:v>
                </c:pt>
                <c:pt idx="27">
                  <c:v>10.619737048975548</c:v>
                </c:pt>
                <c:pt idx="28">
                  <c:v>7.5163821852452877</c:v>
                </c:pt>
                <c:pt idx="29">
                  <c:v>6.6010919504837009</c:v>
                </c:pt>
                <c:pt idx="30">
                  <c:v>5.495673825663042</c:v>
                </c:pt>
                <c:pt idx="31">
                  <c:v>4.3519098884493035</c:v>
                </c:pt>
                <c:pt idx="32">
                  <c:v>2.8465327449364222</c:v>
                </c:pt>
                <c:pt idx="33">
                  <c:v>2.8713226808050112</c:v>
                </c:pt>
                <c:pt idx="34">
                  <c:v>2.1401797399690312</c:v>
                </c:pt>
                <c:pt idx="35">
                  <c:v>2.5547498024383919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4E-41E1-8E20-7858C4CC959E}"/>
            </c:ext>
          </c:extLst>
        </c:ser>
        <c:ser>
          <c:idx val="1"/>
          <c:order val="1"/>
          <c:tx>
            <c:strRef>
              <c:f>'Граф 12'!$K$4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'Граф 12'!$I$5:$I$40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12'!$K$5:$K$40</c:f>
              <c:numCache>
                <c:formatCode>0.0</c:formatCode>
                <c:ptCount val="36"/>
                <c:pt idx="0">
                  <c:v>18.617003394687075</c:v>
                </c:pt>
                <c:pt idx="1">
                  <c:v>29.028067416471881</c:v>
                </c:pt>
                <c:pt idx="2">
                  <c:v>40.115626055440188</c:v>
                </c:pt>
                <c:pt idx="3">
                  <c:v>44.072426743327213</c:v>
                </c:pt>
                <c:pt idx="4">
                  <c:v>40.327926029534879</c:v>
                </c:pt>
                <c:pt idx="5">
                  <c:v>35.813356510422629</c:v>
                </c:pt>
                <c:pt idx="6">
                  <c:v>27.86343292786162</c:v>
                </c:pt>
                <c:pt idx="7">
                  <c:v>21.206987420002381</c:v>
                </c:pt>
                <c:pt idx="8">
                  <c:v>17.928866089662442</c:v>
                </c:pt>
                <c:pt idx="9">
                  <c:v>14.127648290126768</c:v>
                </c:pt>
                <c:pt idx="10">
                  <c:v>15.19905814062567</c:v>
                </c:pt>
                <c:pt idx="11">
                  <c:v>12.954720197906255</c:v>
                </c:pt>
                <c:pt idx="12">
                  <c:v>12.532355776782781</c:v>
                </c:pt>
                <c:pt idx="13">
                  <c:v>12.181619150378051</c:v>
                </c:pt>
                <c:pt idx="14">
                  <c:v>12.727961047872505</c:v>
                </c:pt>
                <c:pt idx="15">
                  <c:v>13.537207465154456</c:v>
                </c:pt>
                <c:pt idx="16">
                  <c:v>13.786412756629474</c:v>
                </c:pt>
                <c:pt idx="17">
                  <c:v>11.791506542181638</c:v>
                </c:pt>
                <c:pt idx="18">
                  <c:v>9.063235279270538</c:v>
                </c:pt>
                <c:pt idx="19">
                  <c:v>10.025638063671769</c:v>
                </c:pt>
                <c:pt idx="20">
                  <c:v>9.7947107682096348</c:v>
                </c:pt>
                <c:pt idx="21">
                  <c:v>9.6958458943824759</c:v>
                </c:pt>
                <c:pt idx="22">
                  <c:v>10.264516068307243</c:v>
                </c:pt>
                <c:pt idx="23">
                  <c:v>10.994609361886001</c:v>
                </c:pt>
                <c:pt idx="24">
                  <c:v>10.333361232857577</c:v>
                </c:pt>
                <c:pt idx="25">
                  <c:v>11.446217843892319</c:v>
                </c:pt>
                <c:pt idx="26">
                  <c:v>10.862467847004654</c:v>
                </c:pt>
                <c:pt idx="27">
                  <c:v>10.94496002416431</c:v>
                </c:pt>
                <c:pt idx="28">
                  <c:v>9.0052473552182253</c:v>
                </c:pt>
                <c:pt idx="29">
                  <c:v>8.4833933650752709</c:v>
                </c:pt>
                <c:pt idx="30">
                  <c:v>8.0936282061084714</c:v>
                </c:pt>
                <c:pt idx="31">
                  <c:v>6.7049358788672961</c:v>
                </c:pt>
                <c:pt idx="32">
                  <c:v>4.630177874457984</c:v>
                </c:pt>
                <c:pt idx="33">
                  <c:v>3.9222847172540964</c:v>
                </c:pt>
                <c:pt idx="34">
                  <c:v>5.2108773642268371</c:v>
                </c:pt>
                <c:pt idx="35">
                  <c:v>4.6886542433092471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4E-41E1-8E20-7858C4CC9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2880"/>
        <c:axId val="73804416"/>
      </c:lineChart>
      <c:catAx>
        <c:axId val="738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3804416"/>
        <c:crosses val="autoZero"/>
        <c:auto val="1"/>
        <c:lblAlgn val="ctr"/>
        <c:lblOffset val="100"/>
        <c:noMultiLvlLbl val="0"/>
      </c:catAx>
      <c:valAx>
        <c:axId val="73804416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73802880"/>
        <c:crossesAt val="1"/>
        <c:crossBetween val="midCat"/>
        <c:majorUnit val="10"/>
      </c:valAx>
      <c:spPr>
        <a:ln>
          <a:solidFill>
            <a:sysClr val="window" lastClr="FFFFFF">
              <a:lumMod val="65000"/>
            </a:sysClr>
          </a:solidFill>
        </a:ln>
      </c:spPr>
    </c:plotArea>
    <c:legend>
      <c:legendPos val="b"/>
      <c:layout>
        <c:manualLayout>
          <c:xMode val="edge"/>
          <c:yMode val="edge"/>
          <c:x val="0.38120991822324163"/>
          <c:y val="0.88732061944942286"/>
          <c:w val="0.25437194841825228"/>
          <c:h val="6.7536557930258714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999697290213214E-2"/>
          <c:y val="7.1263573980963224E-2"/>
          <c:w val="0.92327369201290599"/>
          <c:h val="0.72289940865825508"/>
        </c:manualLayout>
      </c:layout>
      <c:lineChart>
        <c:grouping val="standard"/>
        <c:varyColors val="0"/>
        <c:ser>
          <c:idx val="0"/>
          <c:order val="0"/>
          <c:tx>
            <c:strRef>
              <c:f>'Граф 13'!$J$4</c:f>
              <c:strCache>
                <c:ptCount val="1"/>
                <c:pt idx="0">
                  <c:v>Жене</c:v>
                </c:pt>
              </c:strCache>
            </c:strRef>
          </c:tx>
          <c:spPr>
            <a:ln>
              <a:solidFill>
                <a:srgbClr val="C150C4"/>
              </a:solidFill>
            </a:ln>
          </c:spPr>
          <c:marker>
            <c:symbol val="none"/>
          </c:marker>
          <c:cat>
            <c:numRef>
              <c:f>'Граф 13'!$I$5:$I$40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13'!$J$5:$J$40</c:f>
              <c:numCache>
                <c:formatCode>0.0</c:formatCode>
                <c:ptCount val="36"/>
                <c:pt idx="0">
                  <c:v>39.072582264717056</c:v>
                </c:pt>
                <c:pt idx="1">
                  <c:v>22.589376470646446</c:v>
                </c:pt>
                <c:pt idx="2">
                  <c:v>9.8021294351450017</c:v>
                </c:pt>
                <c:pt idx="3">
                  <c:v>4.7658321581615919</c:v>
                </c:pt>
                <c:pt idx="4">
                  <c:v>3.8373129390740064</c:v>
                </c:pt>
                <c:pt idx="5">
                  <c:v>4.5542662468983401</c:v>
                </c:pt>
                <c:pt idx="6">
                  <c:v>6.5377404087980233</c:v>
                </c:pt>
                <c:pt idx="7">
                  <c:v>6.3189383251999995</c:v>
                </c:pt>
                <c:pt idx="8">
                  <c:v>6.4322584039691932</c:v>
                </c:pt>
                <c:pt idx="9">
                  <c:v>4.604174438531131</c:v>
                </c:pt>
                <c:pt idx="10">
                  <c:v>3.9185443329553107</c:v>
                </c:pt>
                <c:pt idx="11">
                  <c:v>4.2690224788067903</c:v>
                </c:pt>
                <c:pt idx="12">
                  <c:v>4.2127375977619037</c:v>
                </c:pt>
                <c:pt idx="13">
                  <c:v>6.3050527966970495</c:v>
                </c:pt>
                <c:pt idx="14">
                  <c:v>6.8043156395420148</c:v>
                </c:pt>
                <c:pt idx="15">
                  <c:v>5.9168762955192511</c:v>
                </c:pt>
                <c:pt idx="16">
                  <c:v>6.9594759384068032</c:v>
                </c:pt>
                <c:pt idx="17">
                  <c:v>5.8274531724936676</c:v>
                </c:pt>
                <c:pt idx="18">
                  <c:v>8.4460170580228979</c:v>
                </c:pt>
                <c:pt idx="19">
                  <c:v>9.5354696977678941</c:v>
                </c:pt>
                <c:pt idx="20">
                  <c:v>10.886726120445555</c:v>
                </c:pt>
                <c:pt idx="21">
                  <c:v>9.2830988769075713</c:v>
                </c:pt>
                <c:pt idx="22">
                  <c:v>11.686286012435186</c:v>
                </c:pt>
                <c:pt idx="23">
                  <c:v>10.839535563468068</c:v>
                </c:pt>
                <c:pt idx="24">
                  <c:v>12.120901573780953</c:v>
                </c:pt>
                <c:pt idx="25">
                  <c:v>13.332725965747963</c:v>
                </c:pt>
                <c:pt idx="26">
                  <c:v>14.892715818969851</c:v>
                </c:pt>
                <c:pt idx="27">
                  <c:v>16.880038528077883</c:v>
                </c:pt>
                <c:pt idx="28">
                  <c:v>18.948457395221318</c:v>
                </c:pt>
                <c:pt idx="29">
                  <c:v>20.639265176791042</c:v>
                </c:pt>
                <c:pt idx="30">
                  <c:v>23.362794742174252</c:v>
                </c:pt>
                <c:pt idx="31">
                  <c:v>22.369260864508199</c:v>
                </c:pt>
                <c:pt idx="32">
                  <c:v>24.059418485408397</c:v>
                </c:pt>
                <c:pt idx="33">
                  <c:v>28.071845717693812</c:v>
                </c:pt>
                <c:pt idx="34">
                  <c:v>30.169046685114019</c:v>
                </c:pt>
                <c:pt idx="35">
                  <c:v>34.579839804888266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0F-4A82-953D-E812CFE1214A}"/>
            </c:ext>
          </c:extLst>
        </c:ser>
        <c:ser>
          <c:idx val="1"/>
          <c:order val="1"/>
          <c:tx>
            <c:strRef>
              <c:f>'Граф 13'!$K$4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'Граф 13'!$I$5:$I$40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13'!$K$5:$K$40</c:f>
              <c:numCache>
                <c:formatCode>0.0</c:formatCode>
                <c:ptCount val="36"/>
                <c:pt idx="0">
                  <c:v>41.323811300230886</c:v>
                </c:pt>
                <c:pt idx="1">
                  <c:v>26.98908037332437</c:v>
                </c:pt>
                <c:pt idx="2">
                  <c:v>16.464264922815026</c:v>
                </c:pt>
                <c:pt idx="3">
                  <c:v>9.2008759851099935</c:v>
                </c:pt>
                <c:pt idx="4">
                  <c:v>7.3184728517348834</c:v>
                </c:pt>
                <c:pt idx="5">
                  <c:v>8.1709639402374084</c:v>
                </c:pt>
                <c:pt idx="6">
                  <c:v>4.8614889238659886</c:v>
                </c:pt>
                <c:pt idx="7">
                  <c:v>7.1614318545048299</c:v>
                </c:pt>
                <c:pt idx="8">
                  <c:v>8.1885974382477773</c:v>
                </c:pt>
                <c:pt idx="9">
                  <c:v>7.1789892689549344</c:v>
                </c:pt>
                <c:pt idx="10">
                  <c:v>7.142398823010188</c:v>
                </c:pt>
                <c:pt idx="11">
                  <c:v>7.6101837765470721</c:v>
                </c:pt>
                <c:pt idx="12">
                  <c:v>7.5796599653554217</c:v>
                </c:pt>
                <c:pt idx="13">
                  <c:v>6.9246212471114594</c:v>
                </c:pt>
                <c:pt idx="14">
                  <c:v>6.7633902569116184</c:v>
                </c:pt>
                <c:pt idx="15">
                  <c:v>5.3607064915925449</c:v>
                </c:pt>
                <c:pt idx="16">
                  <c:v>5.9335789710247093</c:v>
                </c:pt>
                <c:pt idx="17">
                  <c:v>6.1813606522899631</c:v>
                </c:pt>
                <c:pt idx="18">
                  <c:v>10.934415398065275</c:v>
                </c:pt>
                <c:pt idx="19">
                  <c:v>10.598745217551</c:v>
                </c:pt>
                <c:pt idx="20">
                  <c:v>13.578663597395025</c:v>
                </c:pt>
                <c:pt idx="21">
                  <c:v>14.875924708421781</c:v>
                </c:pt>
                <c:pt idx="22">
                  <c:v>13.196529327412222</c:v>
                </c:pt>
                <c:pt idx="23">
                  <c:v>14.238894734996588</c:v>
                </c:pt>
                <c:pt idx="24">
                  <c:v>17.790677755570371</c:v>
                </c:pt>
                <c:pt idx="25">
                  <c:v>18.545512390903205</c:v>
                </c:pt>
                <c:pt idx="26">
                  <c:v>20.055539166607765</c:v>
                </c:pt>
                <c:pt idx="27">
                  <c:v>23.242881034639399</c:v>
                </c:pt>
                <c:pt idx="28">
                  <c:v>25.340326106378221</c:v>
                </c:pt>
                <c:pt idx="29">
                  <c:v>27.077090277911164</c:v>
                </c:pt>
                <c:pt idx="30">
                  <c:v>30.144143343835232</c:v>
                </c:pt>
                <c:pt idx="31">
                  <c:v>32.542124846009258</c:v>
                </c:pt>
                <c:pt idx="32">
                  <c:v>34.117247397006409</c:v>
                </c:pt>
                <c:pt idx="33">
                  <c:v>38.272010310930199</c:v>
                </c:pt>
                <c:pt idx="34">
                  <c:v>39.982210100728878</c:v>
                </c:pt>
                <c:pt idx="35">
                  <c:v>42.931948382111699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0F-4A82-953D-E812CFE1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2880"/>
        <c:axId val="73804416"/>
      </c:lineChart>
      <c:catAx>
        <c:axId val="738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3804416"/>
        <c:crosses val="autoZero"/>
        <c:auto val="1"/>
        <c:lblAlgn val="ctr"/>
        <c:lblOffset val="100"/>
        <c:noMultiLvlLbl val="0"/>
      </c:catAx>
      <c:valAx>
        <c:axId val="73804416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73802880"/>
        <c:crossesAt val="1"/>
        <c:crossBetween val="midCat"/>
        <c:majorUnit val="10"/>
      </c:valAx>
      <c:spPr>
        <a:ln>
          <a:solidFill>
            <a:sysClr val="window" lastClr="FFFFFF">
              <a:lumMod val="65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693947030162276"/>
          <c:y val="0.88728608923884511"/>
          <c:w val="0.25437194841825228"/>
          <c:h val="6.7536557930258714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999697290213214E-2"/>
          <c:y val="8.0453459527035448E-2"/>
          <c:w val="0.93010252958543005"/>
          <c:h val="0.72779468651206625"/>
        </c:manualLayout>
      </c:layout>
      <c:lineChart>
        <c:grouping val="standard"/>
        <c:varyColors val="0"/>
        <c:ser>
          <c:idx val="0"/>
          <c:order val="0"/>
          <c:tx>
            <c:strRef>
              <c:f>'Граф 14'!$J$4</c:f>
              <c:strCache>
                <c:ptCount val="1"/>
                <c:pt idx="0">
                  <c:v>Жене</c:v>
                </c:pt>
              </c:strCache>
            </c:strRef>
          </c:tx>
          <c:spPr>
            <a:ln>
              <a:solidFill>
                <a:srgbClr val="C150C4"/>
              </a:solidFill>
            </a:ln>
          </c:spPr>
          <c:marker>
            <c:symbol val="none"/>
          </c:marker>
          <c:cat>
            <c:numRef>
              <c:f>'Граф 14'!$I$5:$I$40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14'!$J$5:$J$40</c:f>
              <c:numCache>
                <c:formatCode>0.0</c:formatCode>
                <c:ptCount val="36"/>
                <c:pt idx="0">
                  <c:v>12.559603860031782</c:v>
                </c:pt>
                <c:pt idx="1">
                  <c:v>14.966668531130134</c:v>
                </c:pt>
                <c:pt idx="2">
                  <c:v>18.390296232808886</c:v>
                </c:pt>
                <c:pt idx="3">
                  <c:v>20.321311771013246</c:v>
                </c:pt>
                <c:pt idx="4">
                  <c:v>23.200549643262988</c:v>
                </c:pt>
                <c:pt idx="5">
                  <c:v>25.910043335833848</c:v>
                </c:pt>
                <c:pt idx="6">
                  <c:v>27.103074591577563</c:v>
                </c:pt>
                <c:pt idx="7">
                  <c:v>29.328182780753536</c:v>
                </c:pt>
                <c:pt idx="8">
                  <c:v>29.743393684967057</c:v>
                </c:pt>
                <c:pt idx="9">
                  <c:v>30.326484217503069</c:v>
                </c:pt>
                <c:pt idx="10">
                  <c:v>31.74222194189451</c:v>
                </c:pt>
                <c:pt idx="11">
                  <c:v>30.655904290607637</c:v>
                </c:pt>
                <c:pt idx="12">
                  <c:v>33.916200930218324</c:v>
                </c:pt>
                <c:pt idx="13">
                  <c:v>34.602060017597545</c:v>
                </c:pt>
                <c:pt idx="14">
                  <c:v>36.957157676700383</c:v>
                </c:pt>
                <c:pt idx="15">
                  <c:v>33.20995027149057</c:v>
                </c:pt>
                <c:pt idx="16">
                  <c:v>32.933836253826101</c:v>
                </c:pt>
                <c:pt idx="17">
                  <c:v>33.543721675986731</c:v>
                </c:pt>
                <c:pt idx="18">
                  <c:v>29.601995261024189</c:v>
                </c:pt>
                <c:pt idx="19">
                  <c:v>29.06902657944347</c:v>
                </c:pt>
                <c:pt idx="20">
                  <c:v>27.726102139535534</c:v>
                </c:pt>
                <c:pt idx="21">
                  <c:v>27.89151876486946</c:v>
                </c:pt>
                <c:pt idx="22">
                  <c:v>26.611724516968582</c:v>
                </c:pt>
                <c:pt idx="23">
                  <c:v>24.609340182567564</c:v>
                </c:pt>
                <c:pt idx="24">
                  <c:v>21.121824619673362</c:v>
                </c:pt>
                <c:pt idx="25">
                  <c:v>21.698921832354252</c:v>
                </c:pt>
                <c:pt idx="26">
                  <c:v>18.920948400119528</c:v>
                </c:pt>
                <c:pt idx="27">
                  <c:v>19.283965805756758</c:v>
                </c:pt>
                <c:pt idx="28">
                  <c:v>20.007919460083613</c:v>
                </c:pt>
                <c:pt idx="29">
                  <c:v>18.380172340730024</c:v>
                </c:pt>
                <c:pt idx="30">
                  <c:v>18.550639197855034</c:v>
                </c:pt>
                <c:pt idx="31">
                  <c:v>19.965536694807398</c:v>
                </c:pt>
                <c:pt idx="32">
                  <c:v>19.63070939522801</c:v>
                </c:pt>
                <c:pt idx="33">
                  <c:v>18.859418394556453</c:v>
                </c:pt>
                <c:pt idx="34">
                  <c:v>18.013286441282293</c:v>
                </c:pt>
                <c:pt idx="35">
                  <c:v>16.880496460845475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DB-47F1-A3E4-92DD663D87B3}"/>
            </c:ext>
          </c:extLst>
        </c:ser>
        <c:ser>
          <c:idx val="1"/>
          <c:order val="1"/>
          <c:tx>
            <c:strRef>
              <c:f>'Граф 14'!$K$4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'Граф 14'!$I$5:$I$40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14'!$K$5:$K$40</c:f>
              <c:numCache>
                <c:formatCode>0.0</c:formatCode>
                <c:ptCount val="36"/>
                <c:pt idx="0">
                  <c:v>16.860084247598579</c:v>
                </c:pt>
                <c:pt idx="1">
                  <c:v>19.8618553583965</c:v>
                </c:pt>
                <c:pt idx="2">
                  <c:v>22.923830658568797</c:v>
                </c:pt>
                <c:pt idx="3">
                  <c:v>27.147086531332903</c:v>
                </c:pt>
                <c:pt idx="4">
                  <c:v>31.916416319970825</c:v>
                </c:pt>
                <c:pt idx="5">
                  <c:v>35.119604033282656</c:v>
                </c:pt>
                <c:pt idx="6">
                  <c:v>42.205475716122876</c:v>
                </c:pt>
                <c:pt idx="7">
                  <c:v>43.886209392793255</c:v>
                </c:pt>
                <c:pt idx="8">
                  <c:v>46.320271918881545</c:v>
                </c:pt>
                <c:pt idx="9">
                  <c:v>46.390998907471705</c:v>
                </c:pt>
                <c:pt idx="10">
                  <c:v>45.046959545334431</c:v>
                </c:pt>
                <c:pt idx="11">
                  <c:v>43.960903251276868</c:v>
                </c:pt>
                <c:pt idx="12">
                  <c:v>40.161778416518587</c:v>
                </c:pt>
                <c:pt idx="13">
                  <c:v>39.862886380317605</c:v>
                </c:pt>
                <c:pt idx="14">
                  <c:v>38.97018830270634</c:v>
                </c:pt>
                <c:pt idx="15">
                  <c:v>38.533031075853415</c:v>
                </c:pt>
                <c:pt idx="16">
                  <c:v>34.785575061455845</c:v>
                </c:pt>
                <c:pt idx="17">
                  <c:v>35.27592799978752</c:v>
                </c:pt>
                <c:pt idx="18">
                  <c:v>32.220440144969821</c:v>
                </c:pt>
                <c:pt idx="19">
                  <c:v>31.465374085856961</c:v>
                </c:pt>
                <c:pt idx="20">
                  <c:v>29.487180324040324</c:v>
                </c:pt>
                <c:pt idx="21">
                  <c:v>27.943829875529392</c:v>
                </c:pt>
                <c:pt idx="22">
                  <c:v>28.661679728675548</c:v>
                </c:pt>
                <c:pt idx="23">
                  <c:v>27.521079396334063</c:v>
                </c:pt>
                <c:pt idx="24">
                  <c:v>25.920912725447025</c:v>
                </c:pt>
                <c:pt idx="25">
                  <c:v>24.507997004086285</c:v>
                </c:pt>
                <c:pt idx="26">
                  <c:v>25.058023334391784</c:v>
                </c:pt>
                <c:pt idx="27">
                  <c:v>24.739512292541473</c:v>
                </c:pt>
                <c:pt idx="28">
                  <c:v>25.391925493094579</c:v>
                </c:pt>
                <c:pt idx="29">
                  <c:v>25.362468755201739</c:v>
                </c:pt>
                <c:pt idx="30">
                  <c:v>22.314443460542225</c:v>
                </c:pt>
                <c:pt idx="31">
                  <c:v>20.877479528420356</c:v>
                </c:pt>
                <c:pt idx="32">
                  <c:v>20.189703112279673</c:v>
                </c:pt>
                <c:pt idx="33">
                  <c:v>19.846385166806296</c:v>
                </c:pt>
                <c:pt idx="34">
                  <c:v>18.25835614840318</c:v>
                </c:pt>
                <c:pt idx="35">
                  <c:v>16.791658935248726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DB-47F1-A3E4-92DD663D8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2880"/>
        <c:axId val="73804416"/>
      </c:lineChart>
      <c:catAx>
        <c:axId val="738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3804416"/>
        <c:crosses val="autoZero"/>
        <c:auto val="1"/>
        <c:lblAlgn val="ctr"/>
        <c:lblOffset val="100"/>
        <c:noMultiLvlLbl val="0"/>
      </c:catAx>
      <c:valAx>
        <c:axId val="73804416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73802880"/>
        <c:crossesAt val="1"/>
        <c:crossBetween val="midCat"/>
        <c:majorUnit val="10"/>
      </c:valAx>
      <c:spPr>
        <a:ln>
          <a:solidFill>
            <a:sysClr val="window" lastClr="FFFFFF">
              <a:lumMod val="65000"/>
            </a:sysClr>
          </a:solidFill>
        </a:ln>
      </c:spPr>
    </c:plotArea>
    <c:legend>
      <c:legendPos val="b"/>
      <c:layout>
        <c:manualLayout>
          <c:xMode val="edge"/>
          <c:yMode val="edge"/>
          <c:x val="0.33320299735547304"/>
          <c:y val="0.89388575804583026"/>
          <c:w val="0.25437194841825228"/>
          <c:h val="6.7536557930258714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999690932931624E-2"/>
          <c:y val="6.306301226413194E-2"/>
          <c:w val="0.92836195413170597"/>
          <c:h val="0.72907022172100611"/>
        </c:manualLayout>
      </c:layout>
      <c:lineChart>
        <c:grouping val="standard"/>
        <c:varyColors val="0"/>
        <c:ser>
          <c:idx val="0"/>
          <c:order val="0"/>
          <c:tx>
            <c:strRef>
              <c:f>'Граф 15'!$J$4</c:f>
              <c:strCache>
                <c:ptCount val="1"/>
                <c:pt idx="0">
                  <c:v>Жене</c:v>
                </c:pt>
              </c:strCache>
            </c:strRef>
          </c:tx>
          <c:spPr>
            <a:ln>
              <a:solidFill>
                <a:srgbClr val="C150C4"/>
              </a:solidFill>
            </a:ln>
          </c:spPr>
          <c:marker>
            <c:symbol val="none"/>
          </c:marker>
          <c:cat>
            <c:numRef>
              <c:f>'Граф 15'!$I$5:$I$40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15'!$J$5:$J$40</c:f>
              <c:numCache>
                <c:formatCode>0.0</c:formatCode>
                <c:ptCount val="36"/>
                <c:pt idx="0">
                  <c:v>0.45590964598556644</c:v>
                </c:pt>
                <c:pt idx="1">
                  <c:v>0.45590964598556644</c:v>
                </c:pt>
                <c:pt idx="2">
                  <c:v>0.63835447425925007</c:v>
                </c:pt>
                <c:pt idx="3">
                  <c:v>2.297274184849964</c:v>
                </c:pt>
                <c:pt idx="4">
                  <c:v>2.2791426441563409</c:v>
                </c:pt>
                <c:pt idx="5">
                  <c:v>2.8410507450270406</c:v>
                </c:pt>
                <c:pt idx="6">
                  <c:v>3.6895936983280975</c:v>
                </c:pt>
                <c:pt idx="7">
                  <c:v>3.6539486138332729</c:v>
                </c:pt>
                <c:pt idx="8">
                  <c:v>5.2078627787538281</c:v>
                </c:pt>
                <c:pt idx="9">
                  <c:v>9.5903336318440378</c:v>
                </c:pt>
                <c:pt idx="10">
                  <c:v>11.519430290328589</c:v>
                </c:pt>
                <c:pt idx="11">
                  <c:v>13.368967789784818</c:v>
                </c:pt>
                <c:pt idx="12">
                  <c:v>15.778324024839538</c:v>
                </c:pt>
                <c:pt idx="13">
                  <c:v>16.699272610068192</c:v>
                </c:pt>
                <c:pt idx="14">
                  <c:v>16.425143366919958</c:v>
                </c:pt>
                <c:pt idx="15">
                  <c:v>17.412696028610046</c:v>
                </c:pt>
                <c:pt idx="16">
                  <c:v>18.046036228057755</c:v>
                </c:pt>
                <c:pt idx="17">
                  <c:v>18.192333028992902</c:v>
                </c:pt>
                <c:pt idx="18">
                  <c:v>21.553220007254257</c:v>
                </c:pt>
                <c:pt idx="19">
                  <c:v>22.822663006847304</c:v>
                </c:pt>
                <c:pt idx="20">
                  <c:v>26.305984008187721</c:v>
                </c:pt>
                <c:pt idx="21">
                  <c:v>26.320752039343425</c:v>
                </c:pt>
                <c:pt idx="22">
                  <c:v>26.552751595967827</c:v>
                </c:pt>
                <c:pt idx="23">
                  <c:v>29.664288055075161</c:v>
                </c:pt>
                <c:pt idx="24">
                  <c:v>31.831280573433652</c:v>
                </c:pt>
                <c:pt idx="25">
                  <c:v>30.830817436098449</c:v>
                </c:pt>
                <c:pt idx="26">
                  <c:v>31.239045521717056</c:v>
                </c:pt>
                <c:pt idx="27">
                  <c:v>33.837062691003197</c:v>
                </c:pt>
                <c:pt idx="28">
                  <c:v>35.580617482940781</c:v>
                </c:pt>
                <c:pt idx="29">
                  <c:v>37.033621096773288</c:v>
                </c:pt>
                <c:pt idx="30">
                  <c:v>39.129133728849084</c:v>
                </c:pt>
                <c:pt idx="31">
                  <c:v>40.272168708265085</c:v>
                </c:pt>
                <c:pt idx="32">
                  <c:v>40.754989202523348</c:v>
                </c:pt>
                <c:pt idx="33">
                  <c:v>38.544070746899706</c:v>
                </c:pt>
                <c:pt idx="34">
                  <c:v>39.825339530308611</c:v>
                </c:pt>
                <c:pt idx="35">
                  <c:v>39.325414590744884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C-42C2-8794-FD1941E13076}"/>
            </c:ext>
          </c:extLst>
        </c:ser>
        <c:ser>
          <c:idx val="1"/>
          <c:order val="1"/>
          <c:tx>
            <c:strRef>
              <c:f>'Граф 15'!$K$4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cat>
            <c:numRef>
              <c:f>'Граф 15'!$I$5:$I$40</c:f>
              <c:numCache>
                <c:formatCode>General</c:formatCode>
                <c:ptCount val="36"/>
                <c:pt idx="5">
                  <c:v>1</c:v>
                </c:pt>
                <c:pt idx="11">
                  <c:v>2</c:v>
                </c:pt>
                <c:pt idx="17">
                  <c:v>3</c:v>
                </c:pt>
                <c:pt idx="23">
                  <c:v>4</c:v>
                </c:pt>
                <c:pt idx="29">
                  <c:v>5</c:v>
                </c:pt>
                <c:pt idx="35">
                  <c:v>6</c:v>
                </c:pt>
              </c:numCache>
            </c:numRef>
          </c:cat>
          <c:val>
            <c:numRef>
              <c:f>'Граф 15'!$K$5:$K$40</c:f>
              <c:numCache>
                <c:formatCode>0.0</c:formatCode>
                <c:ptCount val="36"/>
                <c:pt idx="0">
                  <c:v>2.1789134535116066</c:v>
                </c:pt>
                <c:pt idx="1">
                  <c:v>2.5525819898039916</c:v>
                </c:pt>
                <c:pt idx="2">
                  <c:v>2.8023928011959707</c:v>
                </c:pt>
                <c:pt idx="3">
                  <c:v>4.1418550703090213</c:v>
                </c:pt>
                <c:pt idx="4">
                  <c:v>6.0419782430065565</c:v>
                </c:pt>
                <c:pt idx="5">
                  <c:v>7.2156696741733235</c:v>
                </c:pt>
                <c:pt idx="6">
                  <c:v>10.198938001381649</c:v>
                </c:pt>
                <c:pt idx="7">
                  <c:v>11.981323463229906</c:v>
                </c:pt>
                <c:pt idx="8">
                  <c:v>13.7938640016074</c:v>
                </c:pt>
                <c:pt idx="9">
                  <c:v>15.938405485263143</c:v>
                </c:pt>
                <c:pt idx="10">
                  <c:v>17.08646316142665</c:v>
                </c:pt>
                <c:pt idx="11">
                  <c:v>17.812977224542074</c:v>
                </c:pt>
                <c:pt idx="12">
                  <c:v>20.965236802322565</c:v>
                </c:pt>
                <c:pt idx="13">
                  <c:v>22.199762090417661</c:v>
                </c:pt>
                <c:pt idx="14">
                  <c:v>22.983659198278719</c:v>
                </c:pt>
                <c:pt idx="15">
                  <c:v>24.306818137270035</c:v>
                </c:pt>
                <c:pt idx="16">
                  <c:v>27.274970181822177</c:v>
                </c:pt>
                <c:pt idx="17">
                  <c:v>28.242195264856491</c:v>
                </c:pt>
                <c:pt idx="18">
                  <c:v>29.570369546515046</c:v>
                </c:pt>
                <c:pt idx="19">
                  <c:v>32.235896236196531</c:v>
                </c:pt>
                <c:pt idx="20">
                  <c:v>32.632363711193854</c:v>
                </c:pt>
                <c:pt idx="21">
                  <c:v>34.349330822365658</c:v>
                </c:pt>
                <c:pt idx="22">
                  <c:v>35.286667408593345</c:v>
                </c:pt>
                <c:pt idx="23">
                  <c:v>34.768320796982309</c:v>
                </c:pt>
                <c:pt idx="24">
                  <c:v>34.572193740541614</c:v>
                </c:pt>
                <c:pt idx="25">
                  <c:v>35.61937510663612</c:v>
                </c:pt>
                <c:pt idx="26">
                  <c:v>36.289366317405261</c:v>
                </c:pt>
                <c:pt idx="27">
                  <c:v>35.067445264117559</c:v>
                </c:pt>
                <c:pt idx="28">
                  <c:v>34.563390657956603</c:v>
                </c:pt>
                <c:pt idx="29">
                  <c:v>34.309594822978681</c:v>
                </c:pt>
                <c:pt idx="30">
                  <c:v>35.434948293268306</c:v>
                </c:pt>
                <c:pt idx="31">
                  <c:v>36.532730716941508</c:v>
                </c:pt>
                <c:pt idx="32">
                  <c:v>36.88800984991542</c:v>
                </c:pt>
                <c:pt idx="33">
                  <c:v>34.243117530287911</c:v>
                </c:pt>
                <c:pt idx="34">
                  <c:v>34.048481384479715</c:v>
                </c:pt>
                <c:pt idx="35">
                  <c:v>33.494816443928357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C-42C2-8794-FD1941E13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3802880"/>
        <c:axId val="73804416"/>
      </c:lineChart>
      <c:catAx>
        <c:axId val="7380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en-US"/>
          </a:p>
        </c:txPr>
        <c:crossAx val="73804416"/>
        <c:crosses val="autoZero"/>
        <c:auto val="1"/>
        <c:lblAlgn val="ctr"/>
        <c:lblOffset val="100"/>
        <c:noMultiLvlLbl val="0"/>
      </c:catAx>
      <c:valAx>
        <c:axId val="73804416"/>
        <c:scaling>
          <c:orientation val="minMax"/>
          <c:max val="60"/>
        </c:scaling>
        <c:delete val="0"/>
        <c:axPos val="l"/>
        <c:majorGridlines>
          <c:spPr>
            <a:ln>
              <a:solidFill>
                <a:srgbClr val="D9D9D9"/>
              </a:solidFill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en-US"/>
          </a:p>
        </c:txPr>
        <c:crossAx val="73802880"/>
        <c:crossesAt val="1"/>
        <c:crossBetween val="midCat"/>
        <c:majorUnit val="10"/>
      </c:valAx>
      <c:spPr>
        <a:ln>
          <a:solidFill>
            <a:sysClr val="window" lastClr="FFFFFF">
              <a:lumMod val="65000"/>
            </a:sysClr>
          </a:solidFill>
        </a:ln>
      </c:spPr>
    </c:plotArea>
    <c:legend>
      <c:legendPos val="b"/>
      <c:layout>
        <c:manualLayout>
          <c:xMode val="edge"/>
          <c:yMode val="edge"/>
          <c:x val="0.35395731256110241"/>
          <c:y val="0.89755079847755614"/>
          <c:w val="0.25437194841825228"/>
          <c:h val="6.7536557930258714E-2"/>
        </c:manualLayout>
      </c:layout>
      <c:overlay val="0"/>
      <c:txPr>
        <a:bodyPr/>
        <a:lstStyle/>
        <a:p>
          <a:pPr>
            <a:defRPr sz="900"/>
          </a:pPr>
          <a:endParaRPr lang="en-US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0717234396322968"/>
          <c:y val="2.6714793737658941E-2"/>
          <c:w val="0.66073070558691416"/>
          <c:h val="0.836002736256858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 16'!$B$36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'Граф 16'!$A$37:$A$47</c:f>
              <c:strCache>
                <c:ptCount val="11"/>
                <c:pt idx="0">
                  <c:v>Бављење храном</c:v>
                </c:pt>
                <c:pt idx="1">
                  <c:v>Одржавање домаћинства</c:v>
                </c:pt>
                <c:pt idx="2">
                  <c:v>Брига о текстилу</c:v>
                </c:pt>
                <c:pt idx="3">
                  <c:v>Баштованство и брига о
кућним љубимцима</c:v>
                </c:pt>
                <c:pt idx="4">
                  <c:v>Изградња и поправке</c:v>
                </c:pt>
                <c:pt idx="5">
                  <c:v>Куповина и услуге</c:v>
                </c:pt>
                <c:pt idx="6">
                  <c:v>Вођење домаћинства</c:v>
                </c:pt>
                <c:pt idx="7">
                  <c:v>Брига о детету</c:v>
                </c:pt>
                <c:pt idx="8">
                  <c:v>Помоћ одраслом члану домаћинства</c:v>
                </c:pt>
                <c:pt idx="9">
                  <c:v>Неодређена брига о домаћинству
и породици</c:v>
                </c:pt>
                <c:pt idx="10">
                  <c:v>Путовање у вези неплаћеног посла</c:v>
                </c:pt>
              </c:strCache>
            </c:strRef>
          </c:cat>
          <c:val>
            <c:numRef>
              <c:f>'Граф 16'!$B$37:$B$47</c:f>
              <c:numCache>
                <c:formatCode>0.0</c:formatCode>
                <c:ptCount val="11"/>
                <c:pt idx="0">
                  <c:v>0.88620313217623603</c:v>
                </c:pt>
                <c:pt idx="1">
                  <c:v>1.1639213915731088</c:v>
                </c:pt>
                <c:pt idx="2">
                  <c:v>0.43701360164079101</c:v>
                </c:pt>
                <c:pt idx="3">
                  <c:v>2.0278801951411696</c:v>
                </c:pt>
                <c:pt idx="4">
                  <c:v>1.6412782532487635</c:v>
                </c:pt>
                <c:pt idx="5">
                  <c:v>0.65762642180378339</c:v>
                </c:pt>
                <c:pt idx="6">
                  <c:v>0.69307667984848309</c:v>
                </c:pt>
                <c:pt idx="7">
                  <c:v>1.652323671065679</c:v>
                </c:pt>
                <c:pt idx="8">
                  <c:v>1.0528780918427987</c:v>
                </c:pt>
                <c:pt idx="9">
                  <c:v>2.0250153391951939</c:v>
                </c:pt>
                <c:pt idx="10">
                  <c:v>0.6485958968697435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A8-432B-9E71-62F2D808757A}"/>
            </c:ext>
          </c:extLst>
        </c:ser>
        <c:ser>
          <c:idx val="1"/>
          <c:order val="1"/>
          <c:tx>
            <c:strRef>
              <c:f>'Граф 16'!$C$36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D4A0D2"/>
            </a:solidFill>
            <a:ln>
              <a:noFill/>
            </a:ln>
            <a:effectLst/>
          </c:spPr>
          <c:invertIfNegative val="0"/>
          <c:cat>
            <c:strRef>
              <c:f>'Граф 16'!$A$37:$A$47</c:f>
              <c:strCache>
                <c:ptCount val="11"/>
                <c:pt idx="0">
                  <c:v>Бављење храном</c:v>
                </c:pt>
                <c:pt idx="1">
                  <c:v>Одржавање домаћинства</c:v>
                </c:pt>
                <c:pt idx="2">
                  <c:v>Брига о текстилу</c:v>
                </c:pt>
                <c:pt idx="3">
                  <c:v>Баштованство и брига о
кућним љубимцима</c:v>
                </c:pt>
                <c:pt idx="4">
                  <c:v>Изградња и поправке</c:v>
                </c:pt>
                <c:pt idx="5">
                  <c:v>Куповина и услуге</c:v>
                </c:pt>
                <c:pt idx="6">
                  <c:v>Вођење домаћинства</c:v>
                </c:pt>
                <c:pt idx="7">
                  <c:v>Брига о детету</c:v>
                </c:pt>
                <c:pt idx="8">
                  <c:v>Помоћ одраслом члану домаћинства</c:v>
                </c:pt>
                <c:pt idx="9">
                  <c:v>Неодређена брига о домаћинству
и породици</c:v>
                </c:pt>
                <c:pt idx="10">
                  <c:v>Путовање у вези неплаћеног посла</c:v>
                </c:pt>
              </c:strCache>
            </c:strRef>
          </c:cat>
          <c:val>
            <c:numRef>
              <c:f>'Граф 16'!$C$37:$C$47</c:f>
              <c:numCache>
                <c:formatCode>0.0</c:formatCode>
                <c:ptCount val="11"/>
                <c:pt idx="0">
                  <c:v>2.2475895915392763</c:v>
                </c:pt>
                <c:pt idx="1">
                  <c:v>1.1281362716501078</c:v>
                </c:pt>
                <c:pt idx="2">
                  <c:v>0.88639582748357404</c:v>
                </c:pt>
                <c:pt idx="3">
                  <c:v>1.4020453290811423</c:v>
                </c:pt>
                <c:pt idx="4">
                  <c:v>1.0488921336274526</c:v>
                </c:pt>
                <c:pt idx="5">
                  <c:v>0.69382347957568058</c:v>
                </c:pt>
                <c:pt idx="6">
                  <c:v>0.72611804041367733</c:v>
                </c:pt>
                <c:pt idx="7">
                  <c:v>2.4353880829612673</c:v>
                </c:pt>
                <c:pt idx="8">
                  <c:v>1.2319686736114588</c:v>
                </c:pt>
                <c:pt idx="9">
                  <c:v>2.0154972660934174</c:v>
                </c:pt>
                <c:pt idx="10">
                  <c:v>0.63937485244672643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A8-432B-9E71-62F2D8087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099057184"/>
        <c:axId val="1102725600"/>
      </c:barChart>
      <c:catAx>
        <c:axId val="10990571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5600"/>
        <c:crosses val="autoZero"/>
        <c:auto val="1"/>
        <c:lblAlgn val="ctr"/>
        <c:lblOffset val="100"/>
        <c:noMultiLvlLbl val="0"/>
      </c:catAx>
      <c:valAx>
        <c:axId val="110272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7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7202062129118914"/>
          <c:y val="0.92821477990673307"/>
          <c:w val="0.18279236099220481"/>
          <c:h val="5.196341219472277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4844684156334909"/>
          <c:y val="3.9693262288928874E-2"/>
          <c:w val="0.71726419559926446"/>
          <c:h val="0.77240105026610395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 17'!$A$11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'Граф 17'!$B$10:$G$10</c:f>
              <c:strCache>
                <c:ptCount val="6"/>
                <c:pt idx="0">
                  <c:v>Остала неактивна лица</c:v>
                </c:pt>
                <c:pt idx="1">
                  <c:v>Обавља кућне послове у 
свом домаћинству</c:v>
                </c:pt>
                <c:pt idx="2">
                  <c:v>Пензионер</c:v>
                </c:pt>
                <c:pt idx="3">
                  <c:v>Ученик, студeнт</c:v>
                </c:pt>
                <c:pt idx="4">
                  <c:v>Незапослен</c:v>
                </c:pt>
                <c:pt idx="5">
                  <c:v>Запослен</c:v>
                </c:pt>
              </c:strCache>
            </c:strRef>
          </c:cat>
          <c:val>
            <c:numRef>
              <c:f>'Граф 17'!$B$11:$G$11</c:f>
              <c:numCache>
                <c:formatCode>0.0</c:formatCode>
                <c:ptCount val="6"/>
                <c:pt idx="0">
                  <c:v>1.7715904490091736</c:v>
                </c:pt>
                <c:pt idx="1">
                  <c:v>2.90831667167275</c:v>
                </c:pt>
                <c:pt idx="2">
                  <c:v>3.2939675395378996</c:v>
                </c:pt>
                <c:pt idx="3">
                  <c:v>0.87651040044008022</c:v>
                </c:pt>
                <c:pt idx="4">
                  <c:v>2.4114183550269721</c:v>
                </c:pt>
                <c:pt idx="5">
                  <c:v>1.5546015539224913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C4-4221-979E-4723AB6B7BD9}"/>
            </c:ext>
          </c:extLst>
        </c:ser>
        <c:ser>
          <c:idx val="1"/>
          <c:order val="1"/>
          <c:tx>
            <c:strRef>
              <c:f>'Граф 17'!$A$12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'Граф 17'!$B$10:$G$10</c:f>
              <c:strCache>
                <c:ptCount val="6"/>
                <c:pt idx="0">
                  <c:v>Остала неактивна лица</c:v>
                </c:pt>
                <c:pt idx="1">
                  <c:v>Обавља кућне послове у 
свом домаћинству</c:v>
                </c:pt>
                <c:pt idx="2">
                  <c:v>Пензионер</c:v>
                </c:pt>
                <c:pt idx="3">
                  <c:v>Ученик, студeнт</c:v>
                </c:pt>
                <c:pt idx="4">
                  <c:v>Незапослен</c:v>
                </c:pt>
                <c:pt idx="5">
                  <c:v>Запослен</c:v>
                </c:pt>
              </c:strCache>
            </c:strRef>
          </c:cat>
          <c:val>
            <c:numRef>
              <c:f>'Граф 17'!$B$12:$G$12</c:f>
              <c:numCache>
                <c:formatCode>0.0</c:formatCode>
                <c:ptCount val="6"/>
                <c:pt idx="0">
                  <c:v>3.0459314292045776</c:v>
                </c:pt>
                <c:pt idx="1">
                  <c:v>6.6935259705107892</c:v>
                </c:pt>
                <c:pt idx="2">
                  <c:v>4.6209783555249828</c:v>
                </c:pt>
                <c:pt idx="3">
                  <c:v>1.5236614195963087</c:v>
                </c:pt>
                <c:pt idx="4">
                  <c:v>5.5269331481883226</c:v>
                </c:pt>
                <c:pt idx="5">
                  <c:v>3.2577156734109183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C4-4221-979E-4723AB6B7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axId val="1102728320"/>
        <c:axId val="1102726144"/>
      </c:barChart>
      <c:catAx>
        <c:axId val="110272832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6144"/>
        <c:crosses val="autoZero"/>
        <c:auto val="1"/>
        <c:lblAlgn val="ctr"/>
        <c:lblOffset val="100"/>
        <c:noMultiLvlLbl val="0"/>
      </c:catAx>
      <c:valAx>
        <c:axId val="1102726144"/>
        <c:scaling>
          <c:orientation val="minMax"/>
          <c:max val="7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8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7718170907028579"/>
          <c:y val="0.90302171707313195"/>
          <c:w val="0.21984076111089129"/>
          <c:h val="7.532741258745230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5264396540972339"/>
          <c:y val="4.3254838856730857E-2"/>
          <c:w val="0.71646953462991558"/>
          <c:h val="0.7868089246967576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 18'!$B$3:$B$4</c:f>
              <c:strCache>
                <c:ptCount val="2"/>
                <c:pt idx="1">
                  <c:v>Незапослени</c:v>
                </c:pt>
              </c:strCache>
            </c:strRef>
          </c:tx>
          <c:spPr>
            <a:solidFill>
              <a:srgbClr val="CADCF2"/>
            </a:solidFill>
            <a:ln>
              <a:noFill/>
            </a:ln>
            <a:effectLst/>
          </c:spPr>
          <c:invertIfNegative val="0"/>
          <c:cat>
            <c:strRef>
              <c:f>'Граф 18'!$A$5:$A$12</c:f>
              <c:strCache>
                <c:ptCount val="8"/>
                <c:pt idx="0">
                  <c:v>Бављење храном</c:v>
                </c:pt>
                <c:pt idx="1">
                  <c:v>Одржавање
домаћинства</c:v>
                </c:pt>
                <c:pt idx="2">
                  <c:v>Брига о текстилу</c:v>
                </c:pt>
                <c:pt idx="3">
                  <c:v>Брига о детету</c:v>
                </c:pt>
                <c:pt idx="4">
                  <c:v>Куповина и услуге</c:v>
                </c:pt>
                <c:pt idx="5">
                  <c:v>Баштованство и брига о
кућним љубимцима</c:v>
                </c:pt>
                <c:pt idx="6">
                  <c:v>Путовање у вези
неплаћеног посла</c:v>
                </c:pt>
                <c:pt idx="7">
                  <c:v>Остала брига о домаћинству
и породици</c:v>
                </c:pt>
              </c:strCache>
            </c:strRef>
          </c:cat>
          <c:val>
            <c:numRef>
              <c:f>'Граф 18'!$B$5:$B$12</c:f>
              <c:numCache>
                <c:formatCode>###0.00</c:formatCode>
                <c:ptCount val="8"/>
                <c:pt idx="0">
                  <c:v>24.506165185343701</c:v>
                </c:pt>
                <c:pt idx="1">
                  <c:v>36.699231740655918</c:v>
                </c:pt>
                <c:pt idx="2">
                  <c:v>0.75635866549083186</c:v>
                </c:pt>
                <c:pt idx="3">
                  <c:v>4.4425489963867424</c:v>
                </c:pt>
                <c:pt idx="4">
                  <c:v>17.088420387077242</c:v>
                </c:pt>
                <c:pt idx="5">
                  <c:v>36.637365892236936</c:v>
                </c:pt>
                <c:pt idx="6">
                  <c:v>18.132503824039318</c:v>
                </c:pt>
                <c:pt idx="7">
                  <c:v>16.60459258727445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4E-488F-AE0F-95A8FB187003}"/>
            </c:ext>
          </c:extLst>
        </c:ser>
        <c:ser>
          <c:idx val="1"/>
          <c:order val="1"/>
          <c:tx>
            <c:strRef>
              <c:f>'Граф 18'!$C$3:$C$4</c:f>
              <c:strCache>
                <c:ptCount val="2"/>
                <c:pt idx="1">
                  <c:v>Незапослене</c:v>
                </c:pt>
              </c:strCache>
            </c:strRef>
          </c:tx>
          <c:spPr>
            <a:solidFill>
              <a:srgbClr val="D4CAE0"/>
            </a:solidFill>
            <a:ln>
              <a:noFill/>
            </a:ln>
            <a:effectLst/>
          </c:spPr>
          <c:invertIfNegative val="0"/>
          <c:cat>
            <c:strRef>
              <c:f>'Граф 18'!$A$5:$A$12</c:f>
              <c:strCache>
                <c:ptCount val="8"/>
                <c:pt idx="0">
                  <c:v>Бављење храном</c:v>
                </c:pt>
                <c:pt idx="1">
                  <c:v>Одржавање
домаћинства</c:v>
                </c:pt>
                <c:pt idx="2">
                  <c:v>Брига о текстилу</c:v>
                </c:pt>
                <c:pt idx="3">
                  <c:v>Брига о детету</c:v>
                </c:pt>
                <c:pt idx="4">
                  <c:v>Куповина и услуге</c:v>
                </c:pt>
                <c:pt idx="5">
                  <c:v>Баштованство и брига о
кућним љубимцима</c:v>
                </c:pt>
                <c:pt idx="6">
                  <c:v>Путовање у вези
неплаћеног посла</c:v>
                </c:pt>
                <c:pt idx="7">
                  <c:v>Остала брига о домаћинству
и породици</c:v>
                </c:pt>
              </c:strCache>
            </c:strRef>
          </c:cat>
          <c:val>
            <c:numRef>
              <c:f>'Граф 18'!$C$5:$C$12</c:f>
              <c:numCache>
                <c:formatCode>###0.00</c:formatCode>
                <c:ptCount val="8"/>
                <c:pt idx="0">
                  <c:v>134.65436995682472</c:v>
                </c:pt>
                <c:pt idx="1">
                  <c:v>49.773900729890428</c:v>
                </c:pt>
                <c:pt idx="2">
                  <c:v>13.671956131384148</c:v>
                </c:pt>
                <c:pt idx="3">
                  <c:v>21.178588613775887</c:v>
                </c:pt>
                <c:pt idx="4">
                  <c:v>17.279949086896249</c:v>
                </c:pt>
                <c:pt idx="5">
                  <c:v>23.153198243483654</c:v>
                </c:pt>
                <c:pt idx="6">
                  <c:v>16.136895370354633</c:v>
                </c:pt>
                <c:pt idx="7">
                  <c:v>4.2839004882580696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4E-488F-AE0F-95A8FB187003}"/>
            </c:ext>
          </c:extLst>
        </c:ser>
        <c:ser>
          <c:idx val="2"/>
          <c:order val="2"/>
          <c:tx>
            <c:strRef>
              <c:f>'Граф 18'!$D$3:$D$4</c:f>
              <c:strCache>
                <c:ptCount val="2"/>
                <c:pt idx="1">
                  <c:v>Запослени</c:v>
                </c:pt>
              </c:strCache>
            </c:strRef>
          </c:tx>
          <c:spPr>
            <a:solidFill>
              <a:srgbClr val="72A2DC"/>
            </a:solidFill>
            <a:ln>
              <a:noFill/>
            </a:ln>
            <a:effectLst/>
          </c:spPr>
          <c:invertIfNegative val="0"/>
          <c:cat>
            <c:strRef>
              <c:f>'Граф 18'!$A$5:$A$12</c:f>
              <c:strCache>
                <c:ptCount val="8"/>
                <c:pt idx="0">
                  <c:v>Бављење храном</c:v>
                </c:pt>
                <c:pt idx="1">
                  <c:v>Одржавање
домаћинства</c:v>
                </c:pt>
                <c:pt idx="2">
                  <c:v>Брига о текстилу</c:v>
                </c:pt>
                <c:pt idx="3">
                  <c:v>Брига о детету</c:v>
                </c:pt>
                <c:pt idx="4">
                  <c:v>Куповина и услуге</c:v>
                </c:pt>
                <c:pt idx="5">
                  <c:v>Баштованство и брига о
кућним љубимцима</c:v>
                </c:pt>
                <c:pt idx="6">
                  <c:v>Путовање у вези
неплаћеног посла</c:v>
                </c:pt>
                <c:pt idx="7">
                  <c:v>Остала брига о домаћинству
и породици</c:v>
                </c:pt>
              </c:strCache>
            </c:strRef>
          </c:cat>
          <c:val>
            <c:numRef>
              <c:f>'Граф 18'!$D$5:$D$12</c:f>
              <c:numCache>
                <c:formatCode>###0.00</c:formatCode>
                <c:ptCount val="8"/>
                <c:pt idx="0">
                  <c:v>12.100375643404361</c:v>
                </c:pt>
                <c:pt idx="1">
                  <c:v>18.339909759029819</c:v>
                </c:pt>
                <c:pt idx="2">
                  <c:v>0.42036880420703865</c:v>
                </c:pt>
                <c:pt idx="3">
                  <c:v>17.111527949849425</c:v>
                </c:pt>
                <c:pt idx="4">
                  <c:v>12.541702080213662</c:v>
                </c:pt>
                <c:pt idx="5">
                  <c:v>11.512110366200732</c:v>
                </c:pt>
                <c:pt idx="6">
                  <c:v>11.576991452666309</c:v>
                </c:pt>
                <c:pt idx="7">
                  <c:v>9.6731071797781176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4E-488F-AE0F-95A8FB187003}"/>
            </c:ext>
          </c:extLst>
        </c:ser>
        <c:ser>
          <c:idx val="3"/>
          <c:order val="3"/>
          <c:tx>
            <c:strRef>
              <c:f>'Граф 18'!$E$3:$E$4</c:f>
              <c:strCache>
                <c:ptCount val="2"/>
                <c:pt idx="1">
                  <c:v>Запослене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'Граф 18'!$A$5:$A$12</c:f>
              <c:strCache>
                <c:ptCount val="8"/>
                <c:pt idx="0">
                  <c:v>Бављење храном</c:v>
                </c:pt>
                <c:pt idx="1">
                  <c:v>Одржавање
домаћинства</c:v>
                </c:pt>
                <c:pt idx="2">
                  <c:v>Брига о текстилу</c:v>
                </c:pt>
                <c:pt idx="3">
                  <c:v>Брига о детету</c:v>
                </c:pt>
                <c:pt idx="4">
                  <c:v>Куповина и услуге</c:v>
                </c:pt>
                <c:pt idx="5">
                  <c:v>Баштованство и брига о
кућним љубимцима</c:v>
                </c:pt>
                <c:pt idx="6">
                  <c:v>Путовање у вези
неплаћеног посла</c:v>
                </c:pt>
                <c:pt idx="7">
                  <c:v>Остала брига о домаћинству
и породици</c:v>
                </c:pt>
              </c:strCache>
            </c:strRef>
          </c:cat>
          <c:val>
            <c:numRef>
              <c:f>'Граф 18'!$E$5:$E$12</c:f>
              <c:numCache>
                <c:formatCode>###0.00</c:formatCode>
                <c:ptCount val="8"/>
                <c:pt idx="0">
                  <c:v>81.413276056166026</c:v>
                </c:pt>
                <c:pt idx="1">
                  <c:v>31.298290814982877</c:v>
                </c:pt>
                <c:pt idx="2">
                  <c:v>15.429232949392382</c:v>
                </c:pt>
                <c:pt idx="3">
                  <c:v>32.280649865410638</c:v>
                </c:pt>
                <c:pt idx="4">
                  <c:v>14.186930165769912</c:v>
                </c:pt>
                <c:pt idx="5">
                  <c:v>6.9024781293555613</c:v>
                </c:pt>
                <c:pt idx="6">
                  <c:v>12.334168652641043</c:v>
                </c:pt>
                <c:pt idx="7">
                  <c:v>1.6179137709365627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4E-488F-AE0F-95A8FB18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0"/>
        <c:axId val="1102722336"/>
        <c:axId val="1102726688"/>
      </c:barChart>
      <c:catAx>
        <c:axId val="1102722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6688"/>
        <c:crosses val="autoZero"/>
        <c:auto val="1"/>
        <c:lblAlgn val="ctr"/>
        <c:lblOffset val="100"/>
        <c:noMultiLvlLbl val="0"/>
      </c:catAx>
      <c:valAx>
        <c:axId val="1102726688"/>
        <c:scaling>
          <c:orientation val="minMax"/>
          <c:max val="1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2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9147868607397092"/>
          <c:y val="0.90606755677279471"/>
          <c:w val="0.67941897135526608"/>
          <c:h val="6.61303870089816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1992855059784192"/>
          <c:y val="4.4310157144053369E-2"/>
          <c:w val="0.64571959755030617"/>
          <c:h val="0.7539844251542134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 19 0-6'!$B$3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'Граф 19 0-6'!$A$4:$A$8</c:f>
              <c:strCache>
                <c:ptCount val="5"/>
                <c:pt idx="0">
                  <c:v>Брига о детету као
главна активност</c:v>
                </c:pt>
                <c:pt idx="1">
                  <c:v>Послови у кући, дете присутно</c:v>
                </c:pt>
                <c:pt idx="2">
                  <c:v>Слободно време, дете присутно</c:v>
                </c:pt>
                <c:pt idx="3">
                  <c:v>Исхрана, дете присутно</c:v>
                </c:pt>
                <c:pt idx="4">
                  <c:v>Брига о детету као
паралелна активност</c:v>
                </c:pt>
              </c:strCache>
            </c:strRef>
          </c:cat>
          <c:val>
            <c:numRef>
              <c:f>'Граф 19 0-6'!$B$4:$B$8</c:f>
              <c:numCache>
                <c:formatCode>###0.00</c:formatCode>
                <c:ptCount val="5"/>
                <c:pt idx="0">
                  <c:v>73.734941598537304</c:v>
                </c:pt>
                <c:pt idx="1">
                  <c:v>22.478336931396161</c:v>
                </c:pt>
                <c:pt idx="2">
                  <c:v>108.83957936228877</c:v>
                </c:pt>
                <c:pt idx="3">
                  <c:v>50.811506730450063</c:v>
                </c:pt>
                <c:pt idx="4">
                  <c:v>8.593812861515989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0B-4191-9151-DF797021D675}"/>
            </c:ext>
          </c:extLst>
        </c:ser>
        <c:ser>
          <c:idx val="1"/>
          <c:order val="1"/>
          <c:tx>
            <c:strRef>
              <c:f>'Граф 19 0-6'!$C$3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D4A0D2"/>
            </a:solidFill>
            <a:ln>
              <a:noFill/>
            </a:ln>
            <a:effectLst/>
          </c:spPr>
          <c:invertIfNegative val="0"/>
          <c:cat>
            <c:strRef>
              <c:f>'Граф 19 0-6'!$A$4:$A$8</c:f>
              <c:strCache>
                <c:ptCount val="5"/>
                <c:pt idx="0">
                  <c:v>Брига о детету као
главна активност</c:v>
                </c:pt>
                <c:pt idx="1">
                  <c:v>Послови у кући, дете присутно</c:v>
                </c:pt>
                <c:pt idx="2">
                  <c:v>Слободно време, дете присутно</c:v>
                </c:pt>
                <c:pt idx="3">
                  <c:v>Исхрана, дете присутно</c:v>
                </c:pt>
                <c:pt idx="4">
                  <c:v>Брига о детету као
паралелна активност</c:v>
                </c:pt>
              </c:strCache>
            </c:strRef>
          </c:cat>
          <c:val>
            <c:numRef>
              <c:f>'Граф 19 0-6'!$C$4:$C$8</c:f>
              <c:numCache>
                <c:formatCode>###0.00</c:formatCode>
                <c:ptCount val="5"/>
                <c:pt idx="0">
                  <c:v>188.12736399588329</c:v>
                </c:pt>
                <c:pt idx="1">
                  <c:v>121.94249880643723</c:v>
                </c:pt>
                <c:pt idx="2">
                  <c:v>114.17001343531369</c:v>
                </c:pt>
                <c:pt idx="3">
                  <c:v>69.952719343154754</c:v>
                </c:pt>
                <c:pt idx="4">
                  <c:v>12.566290894978097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0B-4191-9151-DF797021D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2725056"/>
        <c:axId val="1102716896"/>
      </c:barChart>
      <c:catAx>
        <c:axId val="11027250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16896"/>
        <c:crosses val="autoZero"/>
        <c:auto val="1"/>
        <c:lblAlgn val="ctr"/>
        <c:lblOffset val="100"/>
        <c:noMultiLvlLbl val="0"/>
      </c:catAx>
      <c:valAx>
        <c:axId val="11027168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5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9255358705161861"/>
          <c:y val="0.89577000171739674"/>
          <c:w val="0.22785578885972588"/>
          <c:h val="6.79762850262752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32623561314880967"/>
          <c:y val="4.5128205128205132E-2"/>
          <c:w val="0.63078477584666881"/>
          <c:h val="0.7454641706946089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 20 0-17'!$B$3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'Граф 20 0-17'!$A$4:$A$8</c:f>
              <c:strCache>
                <c:ptCount val="5"/>
                <c:pt idx="0">
                  <c:v>Брига о детету као
главна активност</c:v>
                </c:pt>
                <c:pt idx="1">
                  <c:v>Слободно време, дете присутно</c:v>
                </c:pt>
                <c:pt idx="2">
                  <c:v>Послови у кући, дете присутно</c:v>
                </c:pt>
                <c:pt idx="3">
                  <c:v>Исхрана, дете присутно</c:v>
                </c:pt>
                <c:pt idx="4">
                  <c:v>Брига о детету као
паралелна активност</c:v>
                </c:pt>
              </c:strCache>
            </c:strRef>
          </c:cat>
          <c:val>
            <c:numRef>
              <c:f>'Граф 20 0-17'!$B$4:$B$8</c:f>
              <c:numCache>
                <c:formatCode>###0.00</c:formatCode>
                <c:ptCount val="5"/>
                <c:pt idx="0">
                  <c:v>46.009236624311797</c:v>
                </c:pt>
                <c:pt idx="1">
                  <c:v>99.431775163112533</c:v>
                </c:pt>
                <c:pt idx="2">
                  <c:v>17.870713522698605</c:v>
                </c:pt>
                <c:pt idx="3">
                  <c:v>46.747202952375254</c:v>
                </c:pt>
                <c:pt idx="4">
                  <c:v>6.2088541108217452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A-4299-A5C9-90792A9D5BB8}"/>
            </c:ext>
          </c:extLst>
        </c:ser>
        <c:ser>
          <c:idx val="1"/>
          <c:order val="1"/>
          <c:tx>
            <c:strRef>
              <c:f>'Граф 20 0-17'!$C$3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strRef>
              <c:f>'Граф 20 0-17'!$A$4:$A$8</c:f>
              <c:strCache>
                <c:ptCount val="5"/>
                <c:pt idx="0">
                  <c:v>Брига о детету као
главна активност</c:v>
                </c:pt>
                <c:pt idx="1">
                  <c:v>Слободно време, дете присутно</c:v>
                </c:pt>
                <c:pt idx="2">
                  <c:v>Послови у кући, дете присутно</c:v>
                </c:pt>
                <c:pt idx="3">
                  <c:v>Исхрана, дете присутно</c:v>
                </c:pt>
                <c:pt idx="4">
                  <c:v>Брига о детету као
паралелна активност</c:v>
                </c:pt>
              </c:strCache>
            </c:strRef>
          </c:cat>
          <c:val>
            <c:numRef>
              <c:f>'Граф 20 0-17'!$C$4:$C$8</c:f>
              <c:numCache>
                <c:formatCode>###0.00</c:formatCode>
                <c:ptCount val="5"/>
                <c:pt idx="0">
                  <c:v>105.3799470202071</c:v>
                </c:pt>
                <c:pt idx="1">
                  <c:v>91.161132459042094</c:v>
                </c:pt>
                <c:pt idx="2">
                  <c:v>80.563354809438536</c:v>
                </c:pt>
                <c:pt idx="3">
                  <c:v>58.486574798800277</c:v>
                </c:pt>
                <c:pt idx="4">
                  <c:v>7.89670337731018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BAA-4299-A5C9-90792A9D5B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102719072"/>
        <c:axId val="1102728864"/>
      </c:barChart>
      <c:catAx>
        <c:axId val="1102719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8864"/>
        <c:crosses val="autoZero"/>
        <c:auto val="1"/>
        <c:lblAlgn val="ctr"/>
        <c:lblOffset val="100"/>
        <c:noMultiLvlLbl val="0"/>
      </c:catAx>
      <c:valAx>
        <c:axId val="110272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190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1109135938078565"/>
          <c:y val="0.89545410150191629"/>
          <c:w val="0.22825201812127935"/>
          <c:h val="6.818227370324546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167414255490273"/>
          <c:y val="4.3125709436442367E-2"/>
          <c:w val="0.8418765650612412"/>
          <c:h val="0.7762427042073343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2'!$A$5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2'!$B$3:$G$4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 година</c:v>
                  </c:pt>
                  <c:pt idx="2">
                    <c:v>30-64 године</c:v>
                  </c:pt>
                  <c:pt idx="4">
                    <c:v>65 +</c:v>
                  </c:pt>
                </c:lvl>
              </c:multiLvlStrCache>
            </c:multiLvlStrRef>
          </c:cat>
          <c:val>
            <c:numRef>
              <c:f>'Граф 2'!$B$5:$G$5</c:f>
              <c:numCache>
                <c:formatCode>###0.00</c:formatCode>
                <c:ptCount val="6"/>
                <c:pt idx="0">
                  <c:v>3.3089388334076024</c:v>
                </c:pt>
                <c:pt idx="1">
                  <c:v>1.8624096106065839</c:v>
                </c:pt>
                <c:pt idx="2">
                  <c:v>5.5029883971527749</c:v>
                </c:pt>
                <c:pt idx="3">
                  <c:v>3.6674689785797101</c:v>
                </c:pt>
                <c:pt idx="4">
                  <c:v>0.52654725535364211</c:v>
                </c:pt>
                <c:pt idx="5">
                  <c:v>0.18757940239902013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97-490E-BDE2-AA71462057EF}"/>
            </c:ext>
          </c:extLst>
        </c:ser>
        <c:ser>
          <c:idx val="1"/>
          <c:order val="1"/>
          <c:tx>
            <c:strRef>
              <c:f>'Граф 2'!$A$6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2'!$B$3:$G$4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 година</c:v>
                  </c:pt>
                  <c:pt idx="2">
                    <c:v>30-64 године</c:v>
                  </c:pt>
                  <c:pt idx="4">
                    <c:v>65 +</c:v>
                  </c:pt>
                </c:lvl>
              </c:multiLvlStrCache>
            </c:multiLvlStrRef>
          </c:cat>
          <c:val>
            <c:numRef>
              <c:f>'Граф 2'!$B$6:$G$6</c:f>
              <c:numCache>
                <c:formatCode>###0.00</c:formatCode>
                <c:ptCount val="6"/>
                <c:pt idx="0">
                  <c:v>0.98753666391583605</c:v>
                </c:pt>
                <c:pt idx="1">
                  <c:v>2.3529317288473353</c:v>
                </c:pt>
                <c:pt idx="2">
                  <c:v>1.9535769070750308</c:v>
                </c:pt>
                <c:pt idx="3">
                  <c:v>4.522775542422429</c:v>
                </c:pt>
                <c:pt idx="4">
                  <c:v>3.2597312025704679</c:v>
                </c:pt>
                <c:pt idx="5">
                  <c:v>4.5225687530995726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B97-490E-BDE2-AA71462057EF}"/>
            </c:ext>
          </c:extLst>
        </c:ser>
        <c:ser>
          <c:idx val="2"/>
          <c:order val="2"/>
          <c:tx>
            <c:strRef>
              <c:f>'Граф 2'!$A$7</c:f>
              <c:strCache>
                <c:ptCount val="1"/>
                <c:pt idx="0">
                  <c:v>Учење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2'!$B$3:$G$4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 година</c:v>
                  </c:pt>
                  <c:pt idx="2">
                    <c:v>30-64 године</c:v>
                  </c:pt>
                  <c:pt idx="4">
                    <c:v>65 +</c:v>
                  </c:pt>
                </c:lvl>
              </c:multiLvlStrCache>
            </c:multiLvlStrRef>
          </c:cat>
          <c:val>
            <c:numRef>
              <c:f>'Граф 2'!$B$7:$G$7</c:f>
              <c:numCache>
                <c:formatCode>###0.00</c:formatCode>
                <c:ptCount val="6"/>
                <c:pt idx="0">
                  <c:v>2.0352623819603552</c:v>
                </c:pt>
                <c:pt idx="1">
                  <c:v>2.429634453359871</c:v>
                </c:pt>
                <c:pt idx="2">
                  <c:v>7.7894155490275344E-3</c:v>
                </c:pt>
                <c:pt idx="3">
                  <c:v>2.927103488970197E-2</c:v>
                </c:pt>
                <c:pt idx="4">
                  <c:v>1.6085997725908754E-3</c:v>
                </c:pt>
                <c:pt idx="5">
                  <c:v>3.7749556968698695E-3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B97-490E-BDE2-AA71462057EF}"/>
            </c:ext>
          </c:extLst>
        </c:ser>
        <c:ser>
          <c:idx val="3"/>
          <c:order val="3"/>
          <c:tx>
            <c:strRef>
              <c:f>'Граф 2'!$A$8</c:f>
              <c:strCache>
                <c:ptCount val="1"/>
                <c:pt idx="0">
                  <c:v>Личне потребе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2'!$B$3:$G$4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 година</c:v>
                  </c:pt>
                  <c:pt idx="2">
                    <c:v>30-64 године</c:v>
                  </c:pt>
                  <c:pt idx="4">
                    <c:v>65 +</c:v>
                  </c:pt>
                </c:lvl>
              </c:multiLvlStrCache>
            </c:multiLvlStrRef>
          </c:cat>
          <c:val>
            <c:numRef>
              <c:f>'Граф 2'!$B$8:$G$8</c:f>
              <c:numCache>
                <c:formatCode>###0.00</c:formatCode>
                <c:ptCount val="6"/>
                <c:pt idx="0">
                  <c:v>11.185260757402196</c:v>
                </c:pt>
                <c:pt idx="1">
                  <c:v>11.703537158373992</c:v>
                </c:pt>
                <c:pt idx="2">
                  <c:v>11.098850414073105</c:v>
                </c:pt>
                <c:pt idx="3">
                  <c:v>11.128024898705092</c:v>
                </c:pt>
                <c:pt idx="4">
                  <c:v>12.246684330965106</c:v>
                </c:pt>
                <c:pt idx="5">
                  <c:v>12.331694133245678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B97-490E-BDE2-AA71462057EF}"/>
            </c:ext>
          </c:extLst>
        </c:ser>
        <c:ser>
          <c:idx val="4"/>
          <c:order val="4"/>
          <c:tx>
            <c:strRef>
              <c:f>'Граф 2'!$A$9</c:f>
              <c:strCache>
                <c:ptCount val="1"/>
                <c:pt idx="0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'Граф 2'!$B$3:$G$4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 година</c:v>
                  </c:pt>
                  <c:pt idx="2">
                    <c:v>30-64 године</c:v>
                  </c:pt>
                  <c:pt idx="4">
                    <c:v>65 +</c:v>
                  </c:pt>
                </c:lvl>
              </c:multiLvlStrCache>
            </c:multiLvlStrRef>
          </c:cat>
          <c:val>
            <c:numRef>
              <c:f>'Граф 2'!$B$9:$G$9</c:f>
              <c:numCache>
                <c:formatCode>###0.00</c:formatCode>
                <c:ptCount val="6"/>
                <c:pt idx="0">
                  <c:v>6.4475522866035355</c:v>
                </c:pt>
                <c:pt idx="1">
                  <c:v>5.6412381414214501</c:v>
                </c:pt>
                <c:pt idx="2">
                  <c:v>5.4123066012842918</c:v>
                </c:pt>
                <c:pt idx="3">
                  <c:v>4.6382113124932483</c:v>
                </c:pt>
                <c:pt idx="4">
                  <c:v>7.9558098924931979</c:v>
                </c:pt>
                <c:pt idx="5">
                  <c:v>6.9426768317580319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B97-490E-BDE2-AA71462057EF}"/>
            </c:ext>
          </c:extLst>
        </c:ser>
        <c:ser>
          <c:idx val="5"/>
          <c:order val="5"/>
          <c:tx>
            <c:strRef>
              <c:f>'Граф 2'!$A$10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'Граф 2'!$B$3:$G$4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 година</c:v>
                  </c:pt>
                  <c:pt idx="2">
                    <c:v>30-64 године</c:v>
                  </c:pt>
                  <c:pt idx="4">
                    <c:v>65 +</c:v>
                  </c:pt>
                </c:lvl>
              </c:multiLvlStrCache>
            </c:multiLvlStrRef>
          </c:cat>
          <c:val>
            <c:numRef>
              <c:f>'Граф 2'!$B$10:$G$10</c:f>
              <c:numCache>
                <c:formatCode>###0.00</c:formatCode>
                <c:ptCount val="6"/>
                <c:pt idx="0">
                  <c:v>3.5449076710482218E-2</c:v>
                </c:pt>
                <c:pt idx="1">
                  <c:v>1.0248907390763781E-2</c:v>
                </c:pt>
                <c:pt idx="2">
                  <c:v>2.4488264865747747E-2</c:v>
                </c:pt>
                <c:pt idx="3">
                  <c:v>1.4248232909817466E-2</c:v>
                </c:pt>
                <c:pt idx="4">
                  <c:v>9.6187188450031717E-3</c:v>
                </c:pt>
                <c:pt idx="5">
                  <c:v>1.170592380082641E-2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B97-490E-BDE2-AA714620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5457744"/>
        <c:axId val="1055468080"/>
      </c:barChart>
      <c:catAx>
        <c:axId val="105545774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8080"/>
        <c:crosses val="autoZero"/>
        <c:auto val="1"/>
        <c:lblAlgn val="ctr"/>
        <c:lblOffset val="100"/>
        <c:noMultiLvlLbl val="0"/>
      </c:catAx>
      <c:valAx>
        <c:axId val="1055468080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5774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837024278215227"/>
          <c:y val="6.9444444444444448E-2"/>
          <c:w val="0.78040748031496066"/>
          <c:h val="0.6997961166561148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21'!$A$5</c:f>
              <c:strCache>
                <c:ptCount val="1"/>
                <c:pt idx="0">
                  <c:v>Са чланом домаћинства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21'!$B$3:$E$4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21'!$B$5:$E$5</c:f>
              <c:numCache>
                <c:formatCode>0.0</c:formatCode>
                <c:ptCount val="4"/>
                <c:pt idx="0">
                  <c:v>66.923810898868823</c:v>
                </c:pt>
                <c:pt idx="1">
                  <c:v>68.131330152749101</c:v>
                </c:pt>
                <c:pt idx="2">
                  <c:v>54.500820141193145</c:v>
                </c:pt>
                <c:pt idx="3">
                  <c:v>53.914421487830445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C-415D-8A3A-7BE34B7AE659}"/>
            </c:ext>
          </c:extLst>
        </c:ser>
        <c:ser>
          <c:idx val="1"/>
          <c:order val="1"/>
          <c:tx>
            <c:strRef>
              <c:f>'Граф 21'!$A$6</c:f>
              <c:strCache>
                <c:ptCount val="1"/>
                <c:pt idx="0">
                  <c:v>Сам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21'!$B$3:$E$4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21'!$B$6:$E$6</c:f>
              <c:numCache>
                <c:formatCode>0.0</c:formatCode>
                <c:ptCount val="4"/>
                <c:pt idx="0">
                  <c:v>17.788852599734899</c:v>
                </c:pt>
                <c:pt idx="1">
                  <c:v>16.34835564336317</c:v>
                </c:pt>
                <c:pt idx="2">
                  <c:v>19.918417282688672</c:v>
                </c:pt>
                <c:pt idx="3">
                  <c:v>20.051640222199314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BC-415D-8A3A-7BE34B7AE659}"/>
            </c:ext>
          </c:extLst>
        </c:ser>
        <c:ser>
          <c:idx val="2"/>
          <c:order val="2"/>
          <c:tx>
            <c:strRef>
              <c:f>'Граф 21'!$A$7</c:f>
              <c:strCache>
                <c:ptCount val="1"/>
                <c:pt idx="0">
                  <c:v>Са другим лицима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21'!$B$3:$E$4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21'!$B$7:$E$7</c:f>
              <c:numCache>
                <c:formatCode>0.0</c:formatCode>
                <c:ptCount val="4"/>
                <c:pt idx="0">
                  <c:v>11.04705811371705</c:v>
                </c:pt>
                <c:pt idx="1">
                  <c:v>8.6706701753866398</c:v>
                </c:pt>
                <c:pt idx="2">
                  <c:v>12.127910217969685</c:v>
                </c:pt>
                <c:pt idx="3">
                  <c:v>8.0526495916274179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BC-415D-8A3A-7BE34B7AE6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729408"/>
        <c:axId val="1102727232"/>
      </c:barChart>
      <c:catAx>
        <c:axId val="110272940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7232"/>
        <c:crosses val="autoZero"/>
        <c:auto val="1"/>
        <c:lblAlgn val="ctr"/>
        <c:lblOffset val="100"/>
        <c:noMultiLvlLbl val="0"/>
      </c:catAx>
      <c:valAx>
        <c:axId val="1102727232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9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7333366141732279"/>
          <c:y val="0.89263583842864647"/>
          <c:w val="0.5199991797900263"/>
          <c:h val="7.588581966203096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81942621755614"/>
          <c:y val="4.0515653775322284E-2"/>
          <c:w val="0.7786377223680373"/>
          <c:h val="0.7260294320795039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22'!$A$5</c:f>
              <c:strCache>
                <c:ptCount val="1"/>
                <c:pt idx="0">
                  <c:v>У кући</c:v>
                </c:pt>
              </c:strCache>
            </c:strRef>
          </c:tx>
          <c:spPr>
            <a:solidFill>
              <a:schemeClr val="accent4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22'!$B$2:$E$4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22'!$B$5:$E$5</c:f>
              <c:numCache>
                <c:formatCode>###0.00</c:formatCode>
                <c:ptCount val="4"/>
                <c:pt idx="0">
                  <c:v>78.522864682016404</c:v>
                </c:pt>
                <c:pt idx="1">
                  <c:v>80.702471730856743</c:v>
                </c:pt>
                <c:pt idx="2">
                  <c:v>70.778083984755384</c:v>
                </c:pt>
                <c:pt idx="3">
                  <c:v>72.749794810525287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AE-4C82-9278-FEA4F4DDC3F4}"/>
            </c:ext>
          </c:extLst>
        </c:ser>
        <c:ser>
          <c:idx val="1"/>
          <c:order val="1"/>
          <c:tx>
            <c:strRef>
              <c:f>'Граф 22'!$A$6</c:f>
              <c:strCache>
                <c:ptCount val="1"/>
                <c:pt idx="0">
                  <c:v>Кућа других људи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22'!$B$2:$E$4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22'!$B$6:$E$6</c:f>
              <c:numCache>
                <c:formatCode>###0.00</c:formatCode>
                <c:ptCount val="4"/>
                <c:pt idx="0">
                  <c:v>5.4888791551768152</c:v>
                </c:pt>
                <c:pt idx="1">
                  <c:v>4.3399669520257307</c:v>
                </c:pt>
                <c:pt idx="2">
                  <c:v>2.2555666221275161</c:v>
                </c:pt>
                <c:pt idx="3">
                  <c:v>1.1426584964738118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AE-4C82-9278-FEA4F4DDC3F4}"/>
            </c:ext>
          </c:extLst>
        </c:ser>
        <c:ser>
          <c:idx val="2"/>
          <c:order val="2"/>
          <c:tx>
            <c:strRef>
              <c:f>'Граф 22'!$A$7</c:f>
              <c:strCache>
                <c:ptCount val="1"/>
                <c:pt idx="0">
                  <c:v>Ресторан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22'!$B$2:$E$4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22'!$B$7:$E$7</c:f>
              <c:numCache>
                <c:formatCode>###0.00</c:formatCode>
                <c:ptCount val="4"/>
                <c:pt idx="0">
                  <c:v>3.8367682841181163</c:v>
                </c:pt>
                <c:pt idx="1">
                  <c:v>3.9750440872117587</c:v>
                </c:pt>
                <c:pt idx="2">
                  <c:v>3.0838894283823217</c:v>
                </c:pt>
                <c:pt idx="3">
                  <c:v>1.3172555723922046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AE-4C82-9278-FEA4F4DDC3F4}"/>
            </c:ext>
          </c:extLst>
        </c:ser>
        <c:ser>
          <c:idx val="3"/>
          <c:order val="3"/>
          <c:tx>
            <c:strRef>
              <c:f>'Граф 22'!$A$8</c:f>
              <c:strCache>
                <c:ptCount val="1"/>
                <c:pt idx="0">
                  <c:v>Остала места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22'!$B$2:$E$4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Дани викенда</c:v>
                  </c:pt>
                  <c:pt idx="2">
                    <c:v>Радни дани</c:v>
                  </c:pt>
                </c:lvl>
              </c:multiLvlStrCache>
            </c:multiLvlStrRef>
          </c:cat>
          <c:val>
            <c:numRef>
              <c:f>'Граф 22'!$B$8:$E$8</c:f>
              <c:numCache>
                <c:formatCode>###0.00</c:formatCode>
                <c:ptCount val="4"/>
                <c:pt idx="0">
                  <c:v>7.9112094910093331</c:v>
                </c:pt>
                <c:pt idx="1">
                  <c:v>4.1328732014049185</c:v>
                </c:pt>
                <c:pt idx="2">
                  <c:v>10.429607606586409</c:v>
                </c:pt>
                <c:pt idx="3">
                  <c:v>6.8090024222658476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AE-4C82-9278-FEA4F4DDC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729952"/>
        <c:axId val="1102727776"/>
      </c:barChart>
      <c:catAx>
        <c:axId val="11027299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7776"/>
        <c:crosses val="autoZero"/>
        <c:auto val="1"/>
        <c:lblAlgn val="ctr"/>
        <c:lblOffset val="100"/>
        <c:noMultiLvlLbl val="0"/>
      </c:catAx>
      <c:valAx>
        <c:axId val="1102727776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9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4884933654126567"/>
          <c:y val="0.84778073019510336"/>
          <c:w val="0.77610211876972379"/>
          <c:h val="0.119195533994783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66078826923499E-2"/>
          <c:y val="4.8073508157021126E-2"/>
          <c:w val="0.93470499555324182"/>
          <c:h val="0.77168379076645732"/>
        </c:manualLayout>
      </c:layout>
      <c:lineChart>
        <c:grouping val="standard"/>
        <c:varyColors val="0"/>
        <c:ser>
          <c:idx val="0"/>
          <c:order val="0"/>
          <c:tx>
            <c:strRef>
              <c:f>'Граф 23'!$C$4</c:f>
              <c:strCache>
                <c:ptCount val="1"/>
                <c:pt idx="0">
                  <c:v>Жене</c:v>
                </c:pt>
              </c:strCache>
            </c:strRef>
          </c:tx>
          <c:spPr>
            <a:ln w="28575" cap="rnd">
              <a:solidFill>
                <a:schemeClr val="accent4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'Граф 23'!$B$5:$B$52</c:f>
              <c:strCache>
                <c:ptCount val="48"/>
                <c:pt idx="0">
                  <c:v>04:00</c:v>
                </c:pt>
                <c:pt idx="1">
                  <c:v>04:30</c:v>
                </c:pt>
                <c:pt idx="2">
                  <c:v>05:00</c:v>
                </c:pt>
                <c:pt idx="3">
                  <c:v>05:30</c:v>
                </c:pt>
                <c:pt idx="4">
                  <c:v>06:00</c:v>
                </c:pt>
                <c:pt idx="5">
                  <c:v>06:30</c:v>
                </c:pt>
                <c:pt idx="6">
                  <c:v>07:00</c:v>
                </c:pt>
                <c:pt idx="7">
                  <c:v>07:30</c:v>
                </c:pt>
                <c:pt idx="8">
                  <c:v>08:00</c:v>
                </c:pt>
                <c:pt idx="9">
                  <c:v>08:30</c:v>
                </c:pt>
                <c:pt idx="10">
                  <c:v>09:00</c:v>
                </c:pt>
                <c:pt idx="11">
                  <c:v>09:30</c:v>
                </c:pt>
                <c:pt idx="12">
                  <c:v>10:00</c:v>
                </c:pt>
                <c:pt idx="13">
                  <c:v>10:30</c:v>
                </c:pt>
                <c:pt idx="14">
                  <c:v>11:00</c:v>
                </c:pt>
                <c:pt idx="15">
                  <c:v>11:30</c:v>
                </c:pt>
                <c:pt idx="16">
                  <c:v>12:00</c:v>
                </c:pt>
                <c:pt idx="17">
                  <c:v>12:30</c:v>
                </c:pt>
                <c:pt idx="18">
                  <c:v>13:00</c:v>
                </c:pt>
                <c:pt idx="19">
                  <c:v>13:30</c:v>
                </c:pt>
                <c:pt idx="20">
                  <c:v>14:00</c:v>
                </c:pt>
                <c:pt idx="21">
                  <c:v>14:30</c:v>
                </c:pt>
                <c:pt idx="22">
                  <c:v>15:00</c:v>
                </c:pt>
                <c:pt idx="23">
                  <c:v>15:30</c:v>
                </c:pt>
                <c:pt idx="24">
                  <c:v>16:00</c:v>
                </c:pt>
                <c:pt idx="25">
                  <c:v>16:30</c:v>
                </c:pt>
                <c:pt idx="26">
                  <c:v>17:00</c:v>
                </c:pt>
                <c:pt idx="27">
                  <c:v>17:30</c:v>
                </c:pt>
                <c:pt idx="28">
                  <c:v>18:00</c:v>
                </c:pt>
                <c:pt idx="29">
                  <c:v>18:30</c:v>
                </c:pt>
                <c:pt idx="30">
                  <c:v>19:00</c:v>
                </c:pt>
                <c:pt idx="31">
                  <c:v>19:30</c:v>
                </c:pt>
                <c:pt idx="32">
                  <c:v>20:00</c:v>
                </c:pt>
                <c:pt idx="33">
                  <c:v>20:30</c:v>
                </c:pt>
                <c:pt idx="34">
                  <c:v>21:00</c:v>
                </c:pt>
                <c:pt idx="35">
                  <c:v>21:30</c:v>
                </c:pt>
                <c:pt idx="36">
                  <c:v>22:00</c:v>
                </c:pt>
                <c:pt idx="37">
                  <c:v>22:30</c:v>
                </c:pt>
                <c:pt idx="38">
                  <c:v>23:00</c:v>
                </c:pt>
                <c:pt idx="39">
                  <c:v>23:30</c:v>
                </c:pt>
                <c:pt idx="40">
                  <c:v>00:00</c:v>
                </c:pt>
                <c:pt idx="41">
                  <c:v>00:30</c:v>
                </c:pt>
                <c:pt idx="42">
                  <c:v>01:00</c:v>
                </c:pt>
                <c:pt idx="43">
                  <c:v>01:30</c:v>
                </c:pt>
                <c:pt idx="44">
                  <c:v>02:00</c:v>
                </c:pt>
                <c:pt idx="45">
                  <c:v>02:30</c:v>
                </c:pt>
                <c:pt idx="46">
                  <c:v>03:00</c:v>
                </c:pt>
                <c:pt idx="47">
                  <c:v>03:30</c:v>
                </c:pt>
              </c:strCache>
            </c:strRef>
          </c:cat>
          <c:val>
            <c:numRef>
              <c:f>'Граф 23'!$C$5:$C$52</c:f>
              <c:numCache>
                <c:formatCode>###0.0%</c:formatCode>
                <c:ptCount val="48"/>
                <c:pt idx="0">
                  <c:v>4.8286594166770959E-4</c:v>
                </c:pt>
                <c:pt idx="1">
                  <c:v>1.0162919871836977E-3</c:v>
                </c:pt>
                <c:pt idx="2">
                  <c:v>3.9857324620635017E-3</c:v>
                </c:pt>
                <c:pt idx="3">
                  <c:v>1.0450864019948859E-2</c:v>
                </c:pt>
                <c:pt idx="4">
                  <c:v>1.1297722549023049E-2</c:v>
                </c:pt>
                <c:pt idx="5">
                  <c:v>3.8094682931052427E-2</c:v>
                </c:pt>
                <c:pt idx="6">
                  <c:v>3.9657533683887421E-2</c:v>
                </c:pt>
                <c:pt idx="7">
                  <c:v>8.7562810214273409E-2</c:v>
                </c:pt>
                <c:pt idx="8">
                  <c:v>6.9675576464386754E-2</c:v>
                </c:pt>
                <c:pt idx="9">
                  <c:v>8.5348149974628335E-2</c:v>
                </c:pt>
                <c:pt idx="10">
                  <c:v>5.631130994302639E-2</c:v>
                </c:pt>
                <c:pt idx="11">
                  <c:v>5.4040249146800584E-2</c:v>
                </c:pt>
                <c:pt idx="12">
                  <c:v>4.5592716192689273E-2</c:v>
                </c:pt>
                <c:pt idx="13">
                  <c:v>4.3025097202772471E-2</c:v>
                </c:pt>
                <c:pt idx="14">
                  <c:v>4.1365273506340561E-2</c:v>
                </c:pt>
                <c:pt idx="15">
                  <c:v>2.9803700112822025E-2</c:v>
                </c:pt>
                <c:pt idx="16">
                  <c:v>4.4979230847698268E-2</c:v>
                </c:pt>
                <c:pt idx="17">
                  <c:v>3.3760299448379334E-2</c:v>
                </c:pt>
                <c:pt idx="18">
                  <c:v>3.2467300951285499E-2</c:v>
                </c:pt>
                <c:pt idx="19">
                  <c:v>2.2756176027827476E-2</c:v>
                </c:pt>
                <c:pt idx="20">
                  <c:v>1.5387940615342906E-2</c:v>
                </c:pt>
                <c:pt idx="21">
                  <c:v>1.6520677407532061E-2</c:v>
                </c:pt>
                <c:pt idx="22">
                  <c:v>2.2256466822916668E-2</c:v>
                </c:pt>
                <c:pt idx="23">
                  <c:v>2.6715866374130995E-2</c:v>
                </c:pt>
                <c:pt idx="24">
                  <c:v>3.934576973195008E-2</c:v>
                </c:pt>
                <c:pt idx="25">
                  <c:v>4.6270594823981576E-2</c:v>
                </c:pt>
                <c:pt idx="26">
                  <c:v>6.4209248703568908E-2</c:v>
                </c:pt>
                <c:pt idx="27">
                  <c:v>7.797397081738898E-2</c:v>
                </c:pt>
                <c:pt idx="28">
                  <c:v>5.3376640974079174E-2</c:v>
                </c:pt>
                <c:pt idx="29">
                  <c:v>5.2504984179574096E-2</c:v>
                </c:pt>
                <c:pt idx="30">
                  <c:v>2.4403923526610062E-2</c:v>
                </c:pt>
                <c:pt idx="31">
                  <c:v>1.7622663700476767E-2</c:v>
                </c:pt>
                <c:pt idx="32">
                  <c:v>8.7687135258174356E-3</c:v>
                </c:pt>
                <c:pt idx="33">
                  <c:v>6.9454016051376391E-3</c:v>
                </c:pt>
                <c:pt idx="34">
                  <c:v>1.4242320038349863E-3</c:v>
                </c:pt>
                <c:pt idx="35">
                  <c:v>1.8413811013396608E-3</c:v>
                </c:pt>
                <c:pt idx="36">
                  <c:v>1.7171816068104922E-3</c:v>
                </c:pt>
                <c:pt idx="37">
                  <c:v>1.5521394596602909E-3</c:v>
                </c:pt>
                <c:pt idx="38">
                  <c:v>6.3309179867485684E-4</c:v>
                </c:pt>
                <c:pt idx="39">
                  <c:v>6.235269699046785E-4</c:v>
                </c:pt>
                <c:pt idx="40">
                  <c:v>2.887226652723487E-4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1.6472269767132082E-4</c:v>
                </c:pt>
                <c:pt idx="47">
                  <c:v>1.6472269767132082E-4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23-4DA5-A035-70CE91A2E145}"/>
            </c:ext>
          </c:extLst>
        </c:ser>
        <c:ser>
          <c:idx val="1"/>
          <c:order val="1"/>
          <c:tx>
            <c:strRef>
              <c:f>'Граф 23'!$D$4</c:f>
              <c:strCache>
                <c:ptCount val="1"/>
                <c:pt idx="0">
                  <c:v>Мушкарци</c:v>
                </c:pt>
              </c:strCache>
            </c:strRef>
          </c:tx>
          <c:spPr>
            <a:ln w="28575" cap="rnd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'Граф 23'!$B$5:$B$52</c:f>
              <c:strCache>
                <c:ptCount val="48"/>
                <c:pt idx="0">
                  <c:v>04:00</c:v>
                </c:pt>
                <c:pt idx="1">
                  <c:v>04:30</c:v>
                </c:pt>
                <c:pt idx="2">
                  <c:v>05:00</c:v>
                </c:pt>
                <c:pt idx="3">
                  <c:v>05:30</c:v>
                </c:pt>
                <c:pt idx="4">
                  <c:v>06:00</c:v>
                </c:pt>
                <c:pt idx="5">
                  <c:v>06:30</c:v>
                </c:pt>
                <c:pt idx="6">
                  <c:v>07:00</c:v>
                </c:pt>
                <c:pt idx="7">
                  <c:v>07:30</c:v>
                </c:pt>
                <c:pt idx="8">
                  <c:v>08:00</c:v>
                </c:pt>
                <c:pt idx="9">
                  <c:v>08:30</c:v>
                </c:pt>
                <c:pt idx="10">
                  <c:v>09:00</c:v>
                </c:pt>
                <c:pt idx="11">
                  <c:v>09:30</c:v>
                </c:pt>
                <c:pt idx="12">
                  <c:v>10:00</c:v>
                </c:pt>
                <c:pt idx="13">
                  <c:v>10:30</c:v>
                </c:pt>
                <c:pt idx="14">
                  <c:v>11:00</c:v>
                </c:pt>
                <c:pt idx="15">
                  <c:v>11:30</c:v>
                </c:pt>
                <c:pt idx="16">
                  <c:v>12:00</c:v>
                </c:pt>
                <c:pt idx="17">
                  <c:v>12:30</c:v>
                </c:pt>
                <c:pt idx="18">
                  <c:v>13:00</c:v>
                </c:pt>
                <c:pt idx="19">
                  <c:v>13:30</c:v>
                </c:pt>
                <c:pt idx="20">
                  <c:v>14:00</c:v>
                </c:pt>
                <c:pt idx="21">
                  <c:v>14:30</c:v>
                </c:pt>
                <c:pt idx="22">
                  <c:v>15:00</c:v>
                </c:pt>
                <c:pt idx="23">
                  <c:v>15:30</c:v>
                </c:pt>
                <c:pt idx="24">
                  <c:v>16:00</c:v>
                </c:pt>
                <c:pt idx="25">
                  <c:v>16:30</c:v>
                </c:pt>
                <c:pt idx="26">
                  <c:v>17:00</c:v>
                </c:pt>
                <c:pt idx="27">
                  <c:v>17:30</c:v>
                </c:pt>
                <c:pt idx="28">
                  <c:v>18:00</c:v>
                </c:pt>
                <c:pt idx="29">
                  <c:v>18:30</c:v>
                </c:pt>
                <c:pt idx="30">
                  <c:v>19:00</c:v>
                </c:pt>
                <c:pt idx="31">
                  <c:v>19:30</c:v>
                </c:pt>
                <c:pt idx="32">
                  <c:v>20:00</c:v>
                </c:pt>
                <c:pt idx="33">
                  <c:v>20:30</c:v>
                </c:pt>
                <c:pt idx="34">
                  <c:v>21:00</c:v>
                </c:pt>
                <c:pt idx="35">
                  <c:v>21:30</c:v>
                </c:pt>
                <c:pt idx="36">
                  <c:v>22:00</c:v>
                </c:pt>
                <c:pt idx="37">
                  <c:v>22:30</c:v>
                </c:pt>
                <c:pt idx="38">
                  <c:v>23:00</c:v>
                </c:pt>
                <c:pt idx="39">
                  <c:v>23:30</c:v>
                </c:pt>
                <c:pt idx="40">
                  <c:v>00:00</c:v>
                </c:pt>
                <c:pt idx="41">
                  <c:v>00:30</c:v>
                </c:pt>
                <c:pt idx="42">
                  <c:v>01:00</c:v>
                </c:pt>
                <c:pt idx="43">
                  <c:v>01:30</c:v>
                </c:pt>
                <c:pt idx="44">
                  <c:v>02:00</c:v>
                </c:pt>
                <c:pt idx="45">
                  <c:v>02:30</c:v>
                </c:pt>
                <c:pt idx="46">
                  <c:v>03:00</c:v>
                </c:pt>
                <c:pt idx="47">
                  <c:v>03:30</c:v>
                </c:pt>
              </c:strCache>
            </c:strRef>
          </c:cat>
          <c:val>
            <c:numRef>
              <c:f>'Граф 23'!$D$5:$D$52</c:f>
              <c:numCache>
                <c:formatCode>###0.0%</c:formatCode>
                <c:ptCount val="48"/>
                <c:pt idx="0">
                  <c:v>5.5491359840704134E-4</c:v>
                </c:pt>
                <c:pt idx="1">
                  <c:v>9.8558148466857602E-4</c:v>
                </c:pt>
                <c:pt idx="2">
                  <c:v>3.5634904419014311E-3</c:v>
                </c:pt>
                <c:pt idx="3">
                  <c:v>1.3709159104274251E-2</c:v>
                </c:pt>
                <c:pt idx="4">
                  <c:v>1.5249689814592229E-2</c:v>
                </c:pt>
                <c:pt idx="5">
                  <c:v>3.8253268379379972E-2</c:v>
                </c:pt>
                <c:pt idx="6">
                  <c:v>3.5835301355143977E-2</c:v>
                </c:pt>
                <c:pt idx="7">
                  <c:v>7.7833971352802331E-2</c:v>
                </c:pt>
                <c:pt idx="8">
                  <c:v>6.0654722613247537E-2</c:v>
                </c:pt>
                <c:pt idx="9">
                  <c:v>6.3370861786864519E-2</c:v>
                </c:pt>
                <c:pt idx="10">
                  <c:v>4.2239987091842582E-2</c:v>
                </c:pt>
                <c:pt idx="11">
                  <c:v>3.8777647376218909E-2</c:v>
                </c:pt>
                <c:pt idx="12">
                  <c:v>4.7598855277485731E-2</c:v>
                </c:pt>
                <c:pt idx="13">
                  <c:v>3.6374795262258196E-2</c:v>
                </c:pt>
                <c:pt idx="14">
                  <c:v>3.5386619891876532E-2</c:v>
                </c:pt>
                <c:pt idx="15">
                  <c:v>2.863304706021412E-2</c:v>
                </c:pt>
                <c:pt idx="16">
                  <c:v>3.93882705285096E-2</c:v>
                </c:pt>
                <c:pt idx="17">
                  <c:v>2.5028990708709807E-2</c:v>
                </c:pt>
                <c:pt idx="18">
                  <c:v>4.6696019104418222E-2</c:v>
                </c:pt>
                <c:pt idx="19">
                  <c:v>2.8524868712948084E-2</c:v>
                </c:pt>
                <c:pt idx="20">
                  <c:v>1.840289882278855E-2</c:v>
                </c:pt>
                <c:pt idx="21">
                  <c:v>1.7681939814095587E-2</c:v>
                </c:pt>
                <c:pt idx="22">
                  <c:v>1.9232343744069475E-2</c:v>
                </c:pt>
                <c:pt idx="23">
                  <c:v>2.1268045890123325E-2</c:v>
                </c:pt>
                <c:pt idx="24">
                  <c:v>3.1716234896019546E-2</c:v>
                </c:pt>
                <c:pt idx="25">
                  <c:v>4.4950074208539616E-2</c:v>
                </c:pt>
                <c:pt idx="26">
                  <c:v>5.5000647755519966E-2</c:v>
                </c:pt>
                <c:pt idx="27">
                  <c:v>5.8890471557723388E-2</c:v>
                </c:pt>
                <c:pt idx="28">
                  <c:v>4.8534800780169828E-2</c:v>
                </c:pt>
                <c:pt idx="29">
                  <c:v>4.04329057474637E-2</c:v>
                </c:pt>
                <c:pt idx="30">
                  <c:v>1.4334681216982987E-2</c:v>
                </c:pt>
                <c:pt idx="31">
                  <c:v>1.1769592050711231E-2</c:v>
                </c:pt>
                <c:pt idx="32">
                  <c:v>1.3216097526643846E-2</c:v>
                </c:pt>
                <c:pt idx="33">
                  <c:v>8.6912180615760365E-3</c:v>
                </c:pt>
                <c:pt idx="34">
                  <c:v>5.2764738323948304E-3</c:v>
                </c:pt>
                <c:pt idx="35">
                  <c:v>5.6767719359297154E-3</c:v>
                </c:pt>
                <c:pt idx="36">
                  <c:v>4.0414688962375316E-3</c:v>
                </c:pt>
                <c:pt idx="37">
                  <c:v>2.3247635288540579E-3</c:v>
                </c:pt>
                <c:pt idx="38">
                  <c:v>9.6296035120815306E-4</c:v>
                </c:pt>
                <c:pt idx="39">
                  <c:v>9.2988609595202141E-5</c:v>
                </c:pt>
                <c:pt idx="40">
                  <c:v>0</c:v>
                </c:pt>
                <c:pt idx="41">
                  <c:v>0</c:v>
                </c:pt>
                <c:pt idx="42">
                  <c:v>9.2988609595202141E-5</c:v>
                </c:pt>
                <c:pt idx="43">
                  <c:v>0</c:v>
                </c:pt>
                <c:pt idx="44">
                  <c:v>2.3280556167049358E-4</c:v>
                </c:pt>
                <c:pt idx="45">
                  <c:v>2.7174561549722268E-4</c:v>
                </c:pt>
                <c:pt idx="46">
                  <c:v>4.1104277576607391E-4</c:v>
                </c:pt>
                <c:pt idx="4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23-4DA5-A035-70CE91A2E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2722880"/>
        <c:axId val="1102721792"/>
      </c:lineChart>
      <c:catAx>
        <c:axId val="110272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17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27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2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457126345445351E-2"/>
          <c:y val="8.5492995727492097E-2"/>
          <c:w val="0.90329769558621686"/>
          <c:h val="0.7115667407309612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C4EA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0D1-4B71-AD81-9ED8FE2F51BF}"/>
              </c:ext>
            </c:extLst>
          </c:dPt>
          <c:dPt>
            <c:idx val="2"/>
            <c:invertIfNegative val="0"/>
            <c:bubble3D val="0"/>
            <c:spPr>
              <a:solidFill>
                <a:srgbClr val="AC4EA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B0D1-4B71-AD81-9ED8FE2F51BF}"/>
              </c:ext>
            </c:extLst>
          </c:dPt>
          <c:cat>
            <c:multiLvlStrRef>
              <c:f>'Граф 24'!$A$11:$D$12</c:f>
              <c:multiLvlStrCache>
                <c:ptCount val="4"/>
                <c:lvl>
                  <c:pt idx="0">
                    <c:v>Жене</c:v>
                  </c:pt>
                  <c:pt idx="1">
                    <c:v>Мушкарци</c:v>
                  </c:pt>
                  <c:pt idx="2">
                    <c:v>Жене</c:v>
                  </c:pt>
                  <c:pt idx="3">
                    <c:v>Мушкарци</c:v>
                  </c:pt>
                </c:lvl>
                <c:lvl>
                  <c:pt idx="0">
                    <c:v>Радни дани</c:v>
                  </c:pt>
                  <c:pt idx="2">
                    <c:v>Дани викенда</c:v>
                  </c:pt>
                </c:lvl>
              </c:multiLvlStrCache>
            </c:multiLvlStrRef>
          </c:cat>
          <c:val>
            <c:numRef>
              <c:f>'Граф 24'!$A$13:$D$13</c:f>
              <c:numCache>
                <c:formatCode>###0.00</c:formatCode>
                <c:ptCount val="4"/>
                <c:pt idx="0">
                  <c:v>5.1348019425567788</c:v>
                </c:pt>
                <c:pt idx="1">
                  <c:v>5.7141581341999625</c:v>
                </c:pt>
                <c:pt idx="2">
                  <c:v>6.2452082892573921</c:v>
                </c:pt>
                <c:pt idx="3">
                  <c:v>7.3838412293408577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D1-4B71-AD81-9ED8FE2F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27"/>
        <c:axId val="1102731040"/>
        <c:axId val="1102730496"/>
      </c:barChart>
      <c:catAx>
        <c:axId val="1102731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30496"/>
        <c:crosses val="autoZero"/>
        <c:auto val="1"/>
        <c:lblAlgn val="ctr"/>
        <c:lblOffset val="100"/>
        <c:noMultiLvlLbl val="0"/>
      </c:catAx>
      <c:valAx>
        <c:axId val="1102730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3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17487420744023"/>
          <c:y val="5.4643561397892393E-2"/>
          <c:w val="0.8215208164365293"/>
          <c:h val="0.531606280651443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25'!$A$18</c:f>
              <c:strCache>
                <c:ptCount val="1"/>
                <c:pt idx="0">
                  <c:v>ТВ и радио програм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25'!$B$18:$C$18</c:f>
              <c:numCache>
                <c:formatCode>###0.00</c:formatCode>
                <c:ptCount val="2"/>
                <c:pt idx="0">
                  <c:v>154.00314213326115</c:v>
                </c:pt>
                <c:pt idx="1">
                  <c:v>144.15090529979085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0D-4467-9399-13525649CF3A}"/>
            </c:ext>
          </c:extLst>
        </c:ser>
        <c:ser>
          <c:idx val="1"/>
          <c:order val="1"/>
          <c:tx>
            <c:strRef>
              <c:f>'Граф 25'!$A$19</c:f>
              <c:strCache>
                <c:ptCount val="1"/>
                <c:pt idx="0">
                  <c:v>Друштвени живот и забава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25'!$B$19:$C$19</c:f>
              <c:numCache>
                <c:formatCode>###0.00</c:formatCode>
                <c:ptCount val="2"/>
                <c:pt idx="0">
                  <c:v>115.96376486068716</c:v>
                </c:pt>
                <c:pt idx="1">
                  <c:v>112.61434171203955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0D-4467-9399-13525649CF3A}"/>
            </c:ext>
          </c:extLst>
        </c:ser>
        <c:ser>
          <c:idx val="2"/>
          <c:order val="2"/>
          <c:tx>
            <c:strRef>
              <c:f>'Граф 25'!$A$20</c:f>
              <c:strCache>
                <c:ptCount val="1"/>
                <c:pt idx="0">
                  <c:v>Хобији и рад на компјутеру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25'!$B$20:$C$20</c:f>
              <c:numCache>
                <c:formatCode>###0.00</c:formatCode>
                <c:ptCount val="2"/>
                <c:pt idx="0">
                  <c:v>32.947548358285815</c:v>
                </c:pt>
                <c:pt idx="1">
                  <c:v>14.478844512280984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0D-4467-9399-13525649CF3A}"/>
            </c:ext>
          </c:extLst>
        </c:ser>
        <c:ser>
          <c:idx val="3"/>
          <c:order val="3"/>
          <c:tx>
            <c:strRef>
              <c:f>'Граф 25'!$A$21</c:f>
              <c:strCache>
                <c:ptCount val="1"/>
                <c:pt idx="0">
                  <c:v>Спорт и активности на отвореном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25'!$B$21:$C$21</c:f>
              <c:numCache>
                <c:formatCode>###0.00</c:formatCode>
                <c:ptCount val="2"/>
                <c:pt idx="0">
                  <c:v>25.417254002153022</c:v>
                </c:pt>
                <c:pt idx="1">
                  <c:v>18.550904545020405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60D-4467-9399-13525649CF3A}"/>
            </c:ext>
          </c:extLst>
        </c:ser>
        <c:ser>
          <c:idx val="4"/>
          <c:order val="4"/>
          <c:tx>
            <c:strRef>
              <c:f>'Граф 25'!$A$22</c:f>
              <c:strCache>
                <c:ptCount val="1"/>
                <c:pt idx="0">
                  <c:v>Путовање у вези са слободним временом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25'!$B$22:$C$22</c:f>
              <c:numCache>
                <c:formatCode>###0.00</c:formatCode>
                <c:ptCount val="2"/>
                <c:pt idx="0">
                  <c:v>19.660724946437206</c:v>
                </c:pt>
                <c:pt idx="1">
                  <c:v>13.831452217162164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60D-4467-9399-13525649CF3A}"/>
            </c:ext>
          </c:extLst>
        </c:ser>
        <c:ser>
          <c:idx val="5"/>
          <c:order val="5"/>
          <c:tx>
            <c:strRef>
              <c:f>'Граф 25'!$A$23</c:f>
              <c:strCache>
                <c:ptCount val="1"/>
                <c:pt idx="0">
                  <c:v>Читање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25'!$B$23:$C$23</c:f>
              <c:numCache>
                <c:formatCode>###0.00</c:formatCode>
                <c:ptCount val="2"/>
                <c:pt idx="0">
                  <c:v>13.579961435492635</c:v>
                </c:pt>
                <c:pt idx="1">
                  <c:v>15.079724103702437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60D-4467-9399-13525649CF3A}"/>
            </c:ext>
          </c:extLst>
        </c:ser>
        <c:ser>
          <c:idx val="6"/>
          <c:order val="6"/>
          <c:tx>
            <c:strRef>
              <c:f>'Граф 25'!$A$24</c:f>
              <c:strCache>
                <c:ptCount val="1"/>
                <c:pt idx="0">
                  <c:v>Волонтерски рад и састанци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'Граф 25'!$B$17:$C$17</c:f>
              <c:strCache>
                <c:ptCount val="2"/>
                <c:pt idx="0">
                  <c:v>Мушкарци</c:v>
                </c:pt>
                <c:pt idx="1">
                  <c:v>Жене</c:v>
                </c:pt>
              </c:strCache>
            </c:strRef>
          </c:cat>
          <c:val>
            <c:numRef>
              <c:f>'Граф 25'!$B$24:$C$24</c:f>
              <c:numCache>
                <c:formatCode>###0.00</c:formatCode>
                <c:ptCount val="2"/>
                <c:pt idx="0">
                  <c:v>9.9002310895245156</c:v>
                </c:pt>
                <c:pt idx="1">
                  <c:v>8.4174815354208317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60D-4467-9399-13525649C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717984"/>
        <c:axId val="1102731584"/>
      </c:barChart>
      <c:catAx>
        <c:axId val="11027179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31584"/>
        <c:crosses val="autoZero"/>
        <c:auto val="1"/>
        <c:lblAlgn val="ctr"/>
        <c:lblOffset val="100"/>
        <c:noMultiLvlLbl val="0"/>
      </c:catAx>
      <c:valAx>
        <c:axId val="1102731584"/>
        <c:scaling>
          <c:orientation val="minMax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17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8320454332161E-2"/>
          <c:y val="0.69555671847657485"/>
          <c:w val="0.88229599585456964"/>
          <c:h val="0.257578888322060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083350036820295"/>
          <c:y val="3.4509795396684785E-2"/>
          <c:w val="0.75761924110975065"/>
          <c:h val="0.71137519266970262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26'!$A$5</c:f>
              <c:strCache>
                <c:ptCount val="1"/>
                <c:pt idx="0">
                  <c:v>ТВ и радио програм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26'!$B$5:$K$5</c:f>
              <c:numCache>
                <c:formatCode>0.0</c:formatCode>
                <c:ptCount val="10"/>
                <c:pt idx="0">
                  <c:v>191.99025004726781</c:v>
                </c:pt>
                <c:pt idx="1">
                  <c:v>150.58569962480144</c:v>
                </c:pt>
                <c:pt idx="2">
                  <c:v>125.31676065796852</c:v>
                </c:pt>
                <c:pt idx="3">
                  <c:v>95.202346873832369</c:v>
                </c:pt>
                <c:pt idx="4">
                  <c:v>148.27428010879291</c:v>
                </c:pt>
                <c:pt idx="5">
                  <c:v>119.41629906181585</c:v>
                </c:pt>
                <c:pt idx="7">
                  <c:v>117.97614844832515</c:v>
                </c:pt>
                <c:pt idx="8">
                  <c:v>129.66276485954501</c:v>
                </c:pt>
                <c:pt idx="9">
                  <c:v>156.14814373384141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77-4D86-8B06-E7671DF418B4}"/>
            </c:ext>
          </c:extLst>
        </c:ser>
        <c:ser>
          <c:idx val="1"/>
          <c:order val="1"/>
          <c:tx>
            <c:strRef>
              <c:f>'Граф 26'!$A$6</c:f>
              <c:strCache>
                <c:ptCount val="1"/>
                <c:pt idx="0">
                  <c:v>Друштвени живот и забава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26'!$B$6:$K$6</c:f>
              <c:numCache>
                <c:formatCode>0.0</c:formatCode>
                <c:ptCount val="10"/>
                <c:pt idx="0">
                  <c:v>118.5890840520203</c:v>
                </c:pt>
                <c:pt idx="1">
                  <c:v>101.11121172580654</c:v>
                </c:pt>
                <c:pt idx="2">
                  <c:v>84.894111259661955</c:v>
                </c:pt>
                <c:pt idx="3">
                  <c:v>87.445768198485496</c:v>
                </c:pt>
                <c:pt idx="4">
                  <c:v>94.814656683843438</c:v>
                </c:pt>
                <c:pt idx="5">
                  <c:v>85.943459594885653</c:v>
                </c:pt>
                <c:pt idx="7">
                  <c:v>76.57964838307953</c:v>
                </c:pt>
                <c:pt idx="8">
                  <c:v>125.63052760030796</c:v>
                </c:pt>
                <c:pt idx="9">
                  <c:v>135.6775738049713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77-4D86-8B06-E7671DF418B4}"/>
            </c:ext>
          </c:extLst>
        </c:ser>
        <c:ser>
          <c:idx val="2"/>
          <c:order val="2"/>
          <c:tx>
            <c:strRef>
              <c:f>'Граф 26'!$A$7</c:f>
              <c:strCache>
                <c:ptCount val="1"/>
                <c:pt idx="0">
                  <c:v>Одмарање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26'!$B$7:$K$7</c:f>
              <c:numCache>
                <c:formatCode>0.0</c:formatCode>
                <c:ptCount val="10"/>
                <c:pt idx="0">
                  <c:v>67.200433641652495</c:v>
                </c:pt>
                <c:pt idx="1">
                  <c:v>50.629125917831225</c:v>
                </c:pt>
                <c:pt idx="2">
                  <c:v>42.478629805782596</c:v>
                </c:pt>
                <c:pt idx="3">
                  <c:v>31.167325666872252</c:v>
                </c:pt>
                <c:pt idx="4">
                  <c:v>48.077624999999998</c:v>
                </c:pt>
                <c:pt idx="5">
                  <c:v>42.25502685577969</c:v>
                </c:pt>
                <c:pt idx="7">
                  <c:v>41.454796223906868</c:v>
                </c:pt>
                <c:pt idx="8">
                  <c:v>42.63971457837696</c:v>
                </c:pt>
                <c:pt idx="9">
                  <c:v>57.69916186122979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77-4D86-8B06-E7671DF418B4}"/>
            </c:ext>
          </c:extLst>
        </c:ser>
        <c:ser>
          <c:idx val="3"/>
          <c:order val="3"/>
          <c:tx>
            <c:strRef>
              <c:f>'Граф 26'!$A$8</c:f>
              <c:strCache>
                <c:ptCount val="1"/>
                <c:pt idx="0">
                  <c:v>Спорт и активности на отвореном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26'!$B$8:$K$8</c:f>
              <c:numCache>
                <c:formatCode>0.0</c:formatCode>
                <c:ptCount val="10"/>
                <c:pt idx="0">
                  <c:v>21.571579967685889</c:v>
                </c:pt>
                <c:pt idx="1">
                  <c:v>13.130732281330959</c:v>
                </c:pt>
                <c:pt idx="2">
                  <c:v>17.743861560383408</c:v>
                </c:pt>
                <c:pt idx="3">
                  <c:v>23.300927560841963</c:v>
                </c:pt>
                <c:pt idx="4">
                  <c:v>21.567847225341961</c:v>
                </c:pt>
                <c:pt idx="5">
                  <c:v>18.254871243926839</c:v>
                </c:pt>
                <c:pt idx="7">
                  <c:v>14.358047926950659</c:v>
                </c:pt>
                <c:pt idx="8">
                  <c:v>31.486360537241225</c:v>
                </c:pt>
                <c:pt idx="9">
                  <c:v>22.373675486282419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77-4D86-8B06-E7671DF418B4}"/>
            </c:ext>
          </c:extLst>
        </c:ser>
        <c:ser>
          <c:idx val="4"/>
          <c:order val="4"/>
          <c:tx>
            <c:strRef>
              <c:f>'Граф 26'!$A$9</c:f>
              <c:strCache>
                <c:ptCount val="1"/>
                <c:pt idx="0">
                  <c:v>Хобији и рад на компјутеру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26'!$B$9:$K$9</c:f>
              <c:numCache>
                <c:formatCode>0.0</c:formatCode>
                <c:ptCount val="10"/>
                <c:pt idx="0">
                  <c:v>18.098565897350483</c:v>
                </c:pt>
                <c:pt idx="1">
                  <c:v>10.012970454623597</c:v>
                </c:pt>
                <c:pt idx="2">
                  <c:v>14.497835556206777</c:v>
                </c:pt>
                <c:pt idx="3">
                  <c:v>18.080616960081052</c:v>
                </c:pt>
                <c:pt idx="4">
                  <c:v>16.376344366424888</c:v>
                </c:pt>
                <c:pt idx="5">
                  <c:v>10.625465927399334</c:v>
                </c:pt>
                <c:pt idx="7">
                  <c:v>9.311458354305941</c:v>
                </c:pt>
                <c:pt idx="8">
                  <c:v>53.72655110893318</c:v>
                </c:pt>
                <c:pt idx="9">
                  <c:v>18.684027744927214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077-4D86-8B06-E7671DF418B4}"/>
            </c:ext>
          </c:extLst>
        </c:ser>
        <c:ser>
          <c:idx val="5"/>
          <c:order val="5"/>
          <c:tx>
            <c:strRef>
              <c:f>'Граф 26'!$A$10</c:f>
              <c:strCache>
                <c:ptCount val="1"/>
                <c:pt idx="0">
                  <c:v>Читање</c:v>
                </c:pt>
              </c:strCache>
            </c:strRef>
          </c:tx>
          <c:spPr>
            <a:solidFill>
              <a:srgbClr val="F78C3B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26'!$B$10:$K$10</c:f>
              <c:numCache>
                <c:formatCode>0.0</c:formatCode>
                <c:ptCount val="10"/>
                <c:pt idx="0">
                  <c:v>19.012933875527391</c:v>
                </c:pt>
                <c:pt idx="1">
                  <c:v>15.200759190861319</c:v>
                </c:pt>
                <c:pt idx="2">
                  <c:v>5.0476761919800364</c:v>
                </c:pt>
                <c:pt idx="3">
                  <c:v>5.7424632116817715</c:v>
                </c:pt>
                <c:pt idx="4">
                  <c:v>11.190965791574378</c:v>
                </c:pt>
                <c:pt idx="5">
                  <c:v>9.2949959011667929</c:v>
                </c:pt>
                <c:pt idx="7">
                  <c:v>9.3951873812265561</c:v>
                </c:pt>
                <c:pt idx="8">
                  <c:v>11.526726881070436</c:v>
                </c:pt>
                <c:pt idx="9">
                  <c:v>18.569549986412319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077-4D86-8B06-E7671DF418B4}"/>
            </c:ext>
          </c:extLst>
        </c:ser>
        <c:ser>
          <c:idx val="6"/>
          <c:order val="6"/>
          <c:tx>
            <c:strRef>
              <c:f>'Граф 26'!$A$11</c:f>
              <c:strCache>
                <c:ptCount val="1"/>
                <c:pt idx="0">
                  <c:v>Путовање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26'!$B$11:$K$11</c:f>
              <c:numCache>
                <c:formatCode>0.0</c:formatCode>
                <c:ptCount val="10"/>
                <c:pt idx="0">
                  <c:v>14.62680047868791</c:v>
                </c:pt>
                <c:pt idx="1">
                  <c:v>12.106507294272056</c:v>
                </c:pt>
                <c:pt idx="2">
                  <c:v>12.579287698706569</c:v>
                </c:pt>
                <c:pt idx="3">
                  <c:v>11.162436110232813</c:v>
                </c:pt>
                <c:pt idx="4">
                  <c:v>14.088086166017638</c:v>
                </c:pt>
                <c:pt idx="5">
                  <c:v>9.219491458985992</c:v>
                </c:pt>
                <c:pt idx="7">
                  <c:v>7.0030417138517516</c:v>
                </c:pt>
                <c:pt idx="8">
                  <c:v>27.105197427838036</c:v>
                </c:pt>
                <c:pt idx="9">
                  <c:v>17.322301294115352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077-4D86-8B06-E7671DF418B4}"/>
            </c:ext>
          </c:extLst>
        </c:ser>
        <c:ser>
          <c:idx val="7"/>
          <c:order val="7"/>
          <c:tx>
            <c:strRef>
              <c:f>'Граф 26'!$A$12</c:f>
              <c:strCache>
                <c:ptCount val="1"/>
                <c:pt idx="0">
                  <c:v>Волонтерски рад и састанци</c:v>
                </c:pt>
              </c:strCache>
            </c:strRef>
          </c:tx>
          <c:spPr>
            <a:solidFill>
              <a:srgbClr val="FFC000"/>
            </a:solidFill>
            <a:ln>
              <a:noFill/>
            </a:ln>
            <a:effectLst/>
          </c:spPr>
          <c:invertIfNegative val="0"/>
          <c:cat>
            <c:multiLvlStrRef>
              <c:f>'Граф 26'!$B$3:$K$4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26'!$B$12:$K$12</c:f>
              <c:numCache>
                <c:formatCode>0.0</c:formatCode>
                <c:ptCount val="10"/>
                <c:pt idx="0">
                  <c:v>11.103575870378645</c:v>
                </c:pt>
                <c:pt idx="1">
                  <c:v>11.414824581911013</c:v>
                </c:pt>
                <c:pt idx="2">
                  <c:v>6.919098176551695</c:v>
                </c:pt>
                <c:pt idx="3">
                  <c:v>2.6768679489063132</c:v>
                </c:pt>
                <c:pt idx="4">
                  <c:v>7.8465537186953576</c:v>
                </c:pt>
                <c:pt idx="5">
                  <c:v>2.0663901057207941</c:v>
                </c:pt>
                <c:pt idx="7">
                  <c:v>0.92014843600372853</c:v>
                </c:pt>
                <c:pt idx="8">
                  <c:v>10.172324777535149</c:v>
                </c:pt>
                <c:pt idx="9">
                  <c:v>9.1494394260267846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077-4D86-8B06-E7671DF418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732128"/>
        <c:axId val="1102717440"/>
      </c:barChart>
      <c:catAx>
        <c:axId val="11027321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17440"/>
        <c:crosses val="autoZero"/>
        <c:auto val="1"/>
        <c:lblAlgn val="ctr"/>
        <c:lblOffset val="100"/>
        <c:noMultiLvlLbl val="0"/>
      </c:catAx>
      <c:valAx>
        <c:axId val="1102717440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32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2488492172839564"/>
          <c:y val="0.82983580189025064"/>
          <c:w val="0.74489668471261805"/>
          <c:h val="0.141913431916136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775900073120452"/>
          <c:y val="5.8885383806519455E-2"/>
          <c:w val="0.69393834533946097"/>
          <c:h val="0.5617297995479272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27'!$A$5</c:f>
              <c:strCache>
                <c:ptCount val="1"/>
                <c:pt idx="0">
                  <c:v>ТВ и радио програм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27'!$B$5:$E$5</c:f>
              <c:numCache>
                <c:formatCode>###0.00</c:formatCode>
                <c:ptCount val="4"/>
                <c:pt idx="0">
                  <c:v>190.8738906476805</c:v>
                </c:pt>
                <c:pt idx="1">
                  <c:v>167.56564481998612</c:v>
                </c:pt>
                <c:pt idx="2">
                  <c:v>119.25461797616879</c:v>
                </c:pt>
                <c:pt idx="3">
                  <c:v>103.85784816101557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3F5-BB12-1F83D22AE0CC}"/>
            </c:ext>
          </c:extLst>
        </c:ser>
        <c:ser>
          <c:idx val="1"/>
          <c:order val="1"/>
          <c:tx>
            <c:strRef>
              <c:f>'Граф 27'!$A$6</c:f>
              <c:strCache>
                <c:ptCount val="1"/>
                <c:pt idx="0">
                  <c:v>Друштвени живот и забава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27'!$B$6:$E$6</c:f>
              <c:numCache>
                <c:formatCode>###0.00</c:formatCode>
                <c:ptCount val="4"/>
                <c:pt idx="0">
                  <c:v>135.93035984783583</c:v>
                </c:pt>
                <c:pt idx="1">
                  <c:v>127.64514826799621</c:v>
                </c:pt>
                <c:pt idx="2">
                  <c:v>97.146416794794291</c:v>
                </c:pt>
                <c:pt idx="3">
                  <c:v>86.748704945990283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ED5-43F5-BB12-1F83D22AE0CC}"/>
            </c:ext>
          </c:extLst>
        </c:ser>
        <c:ser>
          <c:idx val="2"/>
          <c:order val="2"/>
          <c:tx>
            <c:strRef>
              <c:f>'Граф 27'!$A$7</c:f>
              <c:strCache>
                <c:ptCount val="1"/>
                <c:pt idx="0">
                  <c:v>Спорт и активности на отвореном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27'!$B$7:$E$7</c:f>
              <c:numCache>
                <c:formatCode>###0.00</c:formatCode>
                <c:ptCount val="4"/>
                <c:pt idx="0">
                  <c:v>32.746501234659235</c:v>
                </c:pt>
                <c:pt idx="1">
                  <c:v>19.405304132049046</c:v>
                </c:pt>
                <c:pt idx="2">
                  <c:v>18.509867123027149</c:v>
                </c:pt>
                <c:pt idx="3">
                  <c:v>17.08061821747901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ED5-43F5-BB12-1F83D22AE0CC}"/>
            </c:ext>
          </c:extLst>
        </c:ser>
        <c:ser>
          <c:idx val="3"/>
          <c:order val="3"/>
          <c:tx>
            <c:strRef>
              <c:f>'Граф 27'!$A$8</c:f>
              <c:strCache>
                <c:ptCount val="1"/>
                <c:pt idx="0">
                  <c:v>Читање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27'!$B$8:$E$8</c:f>
              <c:numCache>
                <c:formatCode>###0.00</c:formatCode>
                <c:ptCount val="4"/>
                <c:pt idx="0">
                  <c:v>19.871815771870349</c:v>
                </c:pt>
                <c:pt idx="1">
                  <c:v>16.554122099614052</c:v>
                </c:pt>
                <c:pt idx="2">
                  <c:v>7.6502566909570602</c:v>
                </c:pt>
                <c:pt idx="3">
                  <c:v>12.542518740246702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ED5-43F5-BB12-1F83D22AE0CC}"/>
            </c:ext>
          </c:extLst>
        </c:ser>
        <c:ser>
          <c:idx val="4"/>
          <c:order val="4"/>
          <c:tx>
            <c:strRef>
              <c:f>'Граф 27'!$A$9</c:f>
              <c:strCache>
                <c:ptCount val="1"/>
                <c:pt idx="0">
                  <c:v>Хобији и рад на компјутеру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27'!$B$9:$E$9</c:f>
              <c:numCache>
                <c:formatCode>###0.00</c:formatCode>
                <c:ptCount val="4"/>
                <c:pt idx="0">
                  <c:v>42.287821893981246</c:v>
                </c:pt>
                <c:pt idx="1">
                  <c:v>15.95528709542204</c:v>
                </c:pt>
                <c:pt idx="2">
                  <c:v>24.144886799569999</c:v>
                </c:pt>
                <c:pt idx="3">
                  <c:v>11.938120738125116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ED5-43F5-BB12-1F83D22AE0CC}"/>
            </c:ext>
          </c:extLst>
        </c:ser>
        <c:ser>
          <c:idx val="5"/>
          <c:order val="5"/>
          <c:tx>
            <c:strRef>
              <c:f>'Граф 27'!$A$10</c:f>
              <c:strCache>
                <c:ptCount val="1"/>
                <c:pt idx="0">
                  <c:v>Волонтерски рад и састанци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27'!$B$10:$E$10</c:f>
              <c:numCache>
                <c:formatCode>###0.00</c:formatCode>
                <c:ptCount val="4"/>
                <c:pt idx="0">
                  <c:v>14.397133474143017</c:v>
                </c:pt>
                <c:pt idx="1">
                  <c:v>11.080459432485961</c:v>
                </c:pt>
                <c:pt idx="2">
                  <c:v>5.6621635850664598</c:v>
                </c:pt>
                <c:pt idx="3">
                  <c:v>3.8349184676919301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ED5-43F5-BB12-1F83D22AE0CC}"/>
            </c:ext>
          </c:extLst>
        </c:ser>
        <c:ser>
          <c:idx val="6"/>
          <c:order val="6"/>
          <c:tx>
            <c:strRef>
              <c:f>'Граф 27'!$A$11</c:f>
              <c:strCache>
                <c:ptCount val="1"/>
                <c:pt idx="0">
                  <c:v>Путовање у вези са слободним временом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'Граф 27'!$B$4:$E$4</c:f>
              <c:strCache>
                <c:ptCount val="4"/>
                <c:pt idx="0">
                  <c:v>Мушкарци који нису запослени</c:v>
                </c:pt>
                <c:pt idx="1">
                  <c:v>Жене које нису запослене</c:v>
                </c:pt>
                <c:pt idx="2">
                  <c:v>Мушкарци који су запослени</c:v>
                </c:pt>
                <c:pt idx="3">
                  <c:v>Жене које су запослене</c:v>
                </c:pt>
              </c:strCache>
            </c:strRef>
          </c:cat>
          <c:val>
            <c:numRef>
              <c:f>'Граф 27'!$B$11:$E$11</c:f>
              <c:numCache>
                <c:formatCode>###0.00</c:formatCode>
                <c:ptCount val="4"/>
                <c:pt idx="0">
                  <c:v>21.567951159154806</c:v>
                </c:pt>
                <c:pt idx="1">
                  <c:v>14.641222208740656</c:v>
                </c:pt>
                <c:pt idx="2">
                  <c:v>17.863275781559448</c:v>
                </c:pt>
                <c:pt idx="3">
                  <c:v>12.437966352764816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ED5-43F5-BB12-1F83D22AE0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718528"/>
        <c:axId val="1102719616"/>
      </c:barChart>
      <c:catAx>
        <c:axId val="11027185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19616"/>
        <c:crosses val="autoZero"/>
        <c:auto val="1"/>
        <c:lblAlgn val="ctr"/>
        <c:lblOffset val="100"/>
        <c:noMultiLvlLbl val="0"/>
      </c:catAx>
      <c:valAx>
        <c:axId val="11027196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185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0626691041223285E-2"/>
          <c:y val="0.71747932139397397"/>
          <c:w val="0.89715136190661293"/>
          <c:h val="0.2572840855460890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01143912385545"/>
          <c:y val="7.8921075824931478E-2"/>
          <c:w val="0.84827026715704423"/>
          <c:h val="0.8065192588933763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AC4EA8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AEB-4C34-9156-D7B6EDA92A24}"/>
              </c:ext>
            </c:extLst>
          </c:dPt>
          <c:cat>
            <c:strRef>
              <c:f>'Граф 28 пол'!$A$6:$B$6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'Граф 28 пол'!$A$7:$B$7</c:f>
              <c:numCache>
                <c:formatCode>0.00</c:formatCode>
                <c:ptCount val="2"/>
                <c:pt idx="0">
                  <c:v>5.35</c:v>
                </c:pt>
                <c:pt idx="1">
                  <c:v>4.74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EB-4C34-9156-D7B6EDA92A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102720160"/>
        <c:axId val="1102720704"/>
      </c:barChart>
      <c:catAx>
        <c:axId val="110272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0704"/>
        <c:crosses val="autoZero"/>
        <c:auto val="1"/>
        <c:lblAlgn val="ctr"/>
        <c:lblOffset val="100"/>
        <c:noMultiLvlLbl val="0"/>
      </c:catAx>
      <c:valAx>
        <c:axId val="1102720704"/>
        <c:scaling>
          <c:orientation val="minMax"/>
          <c:max val="6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0160"/>
        <c:crosses val="autoZero"/>
        <c:crossBetween val="between"/>
        <c:majorUnit val="1"/>
        <c:minorUnit val="0.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410651092491644"/>
          <c:y val="6.3961988304093567E-2"/>
          <c:w val="0.81013138081297531"/>
          <c:h val="0.7169118908680104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'Граф 29 старост'!$A$4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'Граф 29 старост'!$B$3:$C$3</c:f>
              <c:strCache>
                <c:ptCount val="2"/>
                <c:pt idx="0">
                  <c:v>15-64 година</c:v>
                </c:pt>
                <c:pt idx="1">
                  <c:v>65+ година</c:v>
                </c:pt>
              </c:strCache>
            </c:strRef>
          </c:cat>
          <c:val>
            <c:numRef>
              <c:f>'Граф 29 старост'!$B$4:$C$4</c:f>
              <c:numCache>
                <c:formatCode>General</c:formatCode>
                <c:ptCount val="2"/>
                <c:pt idx="0">
                  <c:v>3.14</c:v>
                </c:pt>
                <c:pt idx="1">
                  <c:v>10.25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B1-4F73-9D26-3C3E78CF5EE7}"/>
            </c:ext>
          </c:extLst>
        </c:ser>
        <c:ser>
          <c:idx val="0"/>
          <c:order val="1"/>
          <c:tx>
            <c:strRef>
              <c:f>'Граф 29 старост'!$A$5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D4A0D2"/>
            </a:solidFill>
            <a:ln>
              <a:noFill/>
            </a:ln>
            <a:effectLst/>
          </c:spPr>
          <c:invertIfNegative val="0"/>
          <c:cat>
            <c:strRef>
              <c:f>'Граф 29 старост'!$B$3:$C$3</c:f>
              <c:strCache>
                <c:ptCount val="2"/>
                <c:pt idx="0">
                  <c:v>15-64 година</c:v>
                </c:pt>
                <c:pt idx="1">
                  <c:v>65+ година</c:v>
                </c:pt>
              </c:strCache>
            </c:strRef>
          </c:cat>
          <c:val>
            <c:numRef>
              <c:f>'Граф 29 старост'!$B$5:$C$5</c:f>
              <c:numCache>
                <c:formatCode>General</c:formatCode>
                <c:ptCount val="2"/>
                <c:pt idx="0">
                  <c:v>3.74</c:v>
                </c:pt>
                <c:pt idx="1">
                  <c:v>9.51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B1-4F73-9D26-3C3E78CF5E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67894463"/>
        <c:axId val="67891135"/>
      </c:barChart>
      <c:catAx>
        <c:axId val="6789446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91135"/>
        <c:crosses val="autoZero"/>
        <c:auto val="1"/>
        <c:lblAlgn val="ctr"/>
        <c:lblOffset val="100"/>
        <c:noMultiLvlLbl val="0"/>
      </c:catAx>
      <c:valAx>
        <c:axId val="6789113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89446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0630484604058636"/>
          <c:y val="0.90065095283285024"/>
          <c:w val="0.21340639737106032"/>
          <c:h val="7.329041524532561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35142951854564"/>
          <c:y val="2.9931959962736104E-2"/>
          <c:w val="0.78005883049933999"/>
          <c:h val="0.82565072552328433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30'!$B$5</c:f>
              <c:strCache>
                <c:ptCount val="1"/>
                <c:pt idx="0">
                  <c:v>Нимало стресан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30'!$C$3:$L$4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30'!$C$5:$L$5</c:f>
              <c:numCache>
                <c:formatCode>###0.0</c:formatCode>
                <c:ptCount val="10"/>
                <c:pt idx="0">
                  <c:v>7.2</c:v>
                </c:pt>
                <c:pt idx="1">
                  <c:v>3.2</c:v>
                </c:pt>
                <c:pt idx="2">
                  <c:v>7.4</c:v>
                </c:pt>
                <c:pt idx="3">
                  <c:v>5.9</c:v>
                </c:pt>
                <c:pt idx="4">
                  <c:v>9.9</c:v>
                </c:pt>
                <c:pt idx="5">
                  <c:v>2.6</c:v>
                </c:pt>
                <c:pt idx="6">
                  <c:v>0</c:v>
                </c:pt>
                <c:pt idx="7">
                  <c:v>2.6</c:v>
                </c:pt>
                <c:pt idx="8">
                  <c:v>12.1</c:v>
                </c:pt>
                <c:pt idx="9">
                  <c:v>8.3000000000000007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26-4DC6-952A-B27EBB188D00}"/>
            </c:ext>
          </c:extLst>
        </c:ser>
        <c:ser>
          <c:idx val="1"/>
          <c:order val="1"/>
          <c:tx>
            <c:strRef>
              <c:f>'Граф 30'!$B$6</c:f>
              <c:strCache>
                <c:ptCount val="1"/>
                <c:pt idx="0">
                  <c:v>Не толико стресан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30'!$C$3:$L$4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30'!$C$6:$L$6</c:f>
              <c:numCache>
                <c:formatCode>###0.0</c:formatCode>
                <c:ptCount val="10"/>
                <c:pt idx="0">
                  <c:v>17.100000000000001</c:v>
                </c:pt>
                <c:pt idx="1">
                  <c:v>16.3</c:v>
                </c:pt>
                <c:pt idx="2">
                  <c:v>16.8</c:v>
                </c:pt>
                <c:pt idx="3">
                  <c:v>17.2</c:v>
                </c:pt>
                <c:pt idx="4">
                  <c:v>11.8</c:v>
                </c:pt>
                <c:pt idx="5">
                  <c:v>17.3</c:v>
                </c:pt>
                <c:pt idx="6">
                  <c:v>0</c:v>
                </c:pt>
                <c:pt idx="7">
                  <c:v>7.9</c:v>
                </c:pt>
                <c:pt idx="8">
                  <c:v>23.3</c:v>
                </c:pt>
                <c:pt idx="9">
                  <c:v>20.399999999999999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26-4DC6-952A-B27EBB188D00}"/>
            </c:ext>
          </c:extLst>
        </c:ser>
        <c:ser>
          <c:idx val="2"/>
          <c:order val="2"/>
          <c:tx>
            <c:strRef>
              <c:f>'Граф 30'!$B$7</c:f>
              <c:strCache>
                <c:ptCount val="1"/>
                <c:pt idx="0">
                  <c:v>Помало стресан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multiLvlStrRef>
              <c:f>'Граф 30'!$C$3:$L$4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30'!$C$7:$L$7</c:f>
              <c:numCache>
                <c:formatCode>###0.0</c:formatCode>
                <c:ptCount val="10"/>
                <c:pt idx="0">
                  <c:v>50.2</c:v>
                </c:pt>
                <c:pt idx="1">
                  <c:v>49</c:v>
                </c:pt>
                <c:pt idx="2">
                  <c:v>34.799999999999997</c:v>
                </c:pt>
                <c:pt idx="3">
                  <c:v>52</c:v>
                </c:pt>
                <c:pt idx="4">
                  <c:v>49.2</c:v>
                </c:pt>
                <c:pt idx="5">
                  <c:v>55.9</c:v>
                </c:pt>
                <c:pt idx="6">
                  <c:v>0</c:v>
                </c:pt>
                <c:pt idx="7">
                  <c:v>42.2</c:v>
                </c:pt>
                <c:pt idx="8">
                  <c:v>42.1</c:v>
                </c:pt>
                <c:pt idx="9">
                  <c:v>47.2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26-4DC6-952A-B27EBB188D00}"/>
            </c:ext>
          </c:extLst>
        </c:ser>
        <c:ser>
          <c:idx val="3"/>
          <c:order val="3"/>
          <c:tx>
            <c:strRef>
              <c:f>'Граф 30'!$B$8</c:f>
              <c:strCache>
                <c:ptCount val="1"/>
                <c:pt idx="0">
                  <c:v>Прилично стресан</c:v>
                </c:pt>
              </c:strCache>
            </c:strRef>
          </c:tx>
          <c:spPr>
            <a:solidFill>
              <a:srgbClr val="D4A0D2"/>
            </a:solidFill>
            <a:ln>
              <a:noFill/>
            </a:ln>
            <a:effectLst/>
          </c:spPr>
          <c:invertIfNegative val="0"/>
          <c:cat>
            <c:multiLvlStrRef>
              <c:f>'Граф 30'!$C$3:$L$4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30'!$C$8:$L$8</c:f>
              <c:numCache>
                <c:formatCode>###0.0</c:formatCode>
                <c:ptCount val="10"/>
                <c:pt idx="0">
                  <c:v>23</c:v>
                </c:pt>
                <c:pt idx="1">
                  <c:v>29.1</c:v>
                </c:pt>
                <c:pt idx="2">
                  <c:v>31.9</c:v>
                </c:pt>
                <c:pt idx="3">
                  <c:v>20.399999999999999</c:v>
                </c:pt>
                <c:pt idx="4">
                  <c:v>24.6</c:v>
                </c:pt>
                <c:pt idx="5">
                  <c:v>20.5</c:v>
                </c:pt>
                <c:pt idx="6">
                  <c:v>0</c:v>
                </c:pt>
                <c:pt idx="7">
                  <c:v>39.799999999999997</c:v>
                </c:pt>
                <c:pt idx="8">
                  <c:v>18.899999999999999</c:v>
                </c:pt>
                <c:pt idx="9">
                  <c:v>19.600000000000001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26-4DC6-952A-B27EBB188D00}"/>
            </c:ext>
          </c:extLst>
        </c:ser>
        <c:ser>
          <c:idx val="4"/>
          <c:order val="4"/>
          <c:tx>
            <c:strRef>
              <c:f>'Граф 30'!$B$9</c:f>
              <c:strCache>
                <c:ptCount val="1"/>
                <c:pt idx="0">
                  <c:v>Изузетно стресан</c:v>
                </c:pt>
              </c:strCache>
            </c:strRef>
          </c:tx>
          <c:spPr>
            <a:solidFill>
              <a:srgbClr val="AC4EA8"/>
            </a:solidFill>
            <a:ln>
              <a:noFill/>
            </a:ln>
            <a:effectLst/>
          </c:spPr>
          <c:invertIfNegative val="0"/>
          <c:cat>
            <c:multiLvlStrRef>
              <c:f>'Граф 30'!$C$3:$L$4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брака са дететом до 17 година</c:v>
                  </c:pt>
                  <c:pt idx="8">
                    <c:v>Лица ван брака без детета до 17 година</c:v>
                  </c:pt>
                </c:lvl>
              </c:multiLvlStrCache>
            </c:multiLvlStrRef>
          </c:cat>
          <c:val>
            <c:numRef>
              <c:f>'Граф 30'!$C$9:$L$9</c:f>
              <c:numCache>
                <c:formatCode>###0.0</c:formatCode>
                <c:ptCount val="10"/>
                <c:pt idx="0">
                  <c:v>2.4</c:v>
                </c:pt>
                <c:pt idx="1">
                  <c:v>2.5</c:v>
                </c:pt>
                <c:pt idx="2">
                  <c:v>9.1999999999999993</c:v>
                </c:pt>
                <c:pt idx="3">
                  <c:v>4.4000000000000004</c:v>
                </c:pt>
                <c:pt idx="4">
                  <c:v>4.4000000000000004</c:v>
                </c:pt>
                <c:pt idx="5">
                  <c:v>3.7</c:v>
                </c:pt>
                <c:pt idx="6">
                  <c:v>0</c:v>
                </c:pt>
                <c:pt idx="7">
                  <c:v>7.5</c:v>
                </c:pt>
                <c:pt idx="8">
                  <c:v>3.6</c:v>
                </c:pt>
                <c:pt idx="9">
                  <c:v>4.5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26-4DC6-952A-B27EBB188D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102723424"/>
        <c:axId val="1102723968"/>
      </c:barChart>
      <c:catAx>
        <c:axId val="11027234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3968"/>
        <c:crosses val="autoZero"/>
        <c:auto val="1"/>
        <c:lblAlgn val="ctr"/>
        <c:lblOffset val="100"/>
        <c:noMultiLvlLbl val="0"/>
      </c:catAx>
      <c:valAx>
        <c:axId val="1102723968"/>
        <c:scaling>
          <c:orientation val="minMax"/>
          <c:max val="1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272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33873557203518"/>
          <c:y val="0.9159861091708783"/>
          <c:w val="0.78357879270406916"/>
          <c:h val="7.3129541751763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214011888547127"/>
          <c:y val="6.0327982121843524E-2"/>
          <c:w val="0.79375100964089174"/>
          <c:h val="0.6869888909281310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3'!$A$5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3'!$B$3:$E$4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Градска
насеља</c:v>
                  </c:pt>
                  <c:pt idx="2">
                    <c:v>Остала
насеља</c:v>
                  </c:pt>
                </c:lvl>
              </c:multiLvlStrCache>
            </c:multiLvlStrRef>
          </c:cat>
          <c:val>
            <c:numRef>
              <c:f>'Граф 3'!$B$5:$E$5</c:f>
              <c:numCache>
                <c:formatCode>0.0</c:formatCode>
                <c:ptCount val="4"/>
                <c:pt idx="0">
                  <c:v>3.848194537096961</c:v>
                </c:pt>
                <c:pt idx="1">
                  <c:v>2.5039294008333282</c:v>
                </c:pt>
                <c:pt idx="2">
                  <c:v>4.0788190406642473</c:v>
                </c:pt>
                <c:pt idx="3">
                  <c:v>2.1999330690806942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5A-4708-B48D-59E7C154A2D3}"/>
            </c:ext>
          </c:extLst>
        </c:ser>
        <c:ser>
          <c:idx val="1"/>
          <c:order val="1"/>
          <c:tx>
            <c:strRef>
              <c:f>'Граф 3'!$A$6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3'!$B$3:$E$4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Градска
насеља</c:v>
                  </c:pt>
                  <c:pt idx="2">
                    <c:v>Остала
насеља</c:v>
                  </c:pt>
                </c:lvl>
              </c:multiLvlStrCache>
            </c:multiLvlStrRef>
          </c:cat>
          <c:val>
            <c:numRef>
              <c:f>'Граф 3'!$B$6:$E$6</c:f>
              <c:numCache>
                <c:formatCode>0.0</c:formatCode>
                <c:ptCount val="4"/>
                <c:pt idx="0">
                  <c:v>1.7609524070355917</c:v>
                </c:pt>
                <c:pt idx="1">
                  <c:v>3.8054900643679512</c:v>
                </c:pt>
                <c:pt idx="2">
                  <c:v>2.4546482819999991</c:v>
                </c:pt>
                <c:pt idx="3">
                  <c:v>4.7145678527768808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5A-4708-B48D-59E7C154A2D3}"/>
            </c:ext>
          </c:extLst>
        </c:ser>
        <c:ser>
          <c:idx val="2"/>
          <c:order val="2"/>
          <c:tx>
            <c:strRef>
              <c:f>'Граф 3'!$A$7</c:f>
              <c:strCache>
                <c:ptCount val="1"/>
                <c:pt idx="0">
                  <c:v>Учење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3'!$B$3:$E$4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Градска
насеља</c:v>
                  </c:pt>
                  <c:pt idx="2">
                    <c:v>Остала
насеља</c:v>
                  </c:pt>
                </c:lvl>
              </c:multiLvlStrCache>
            </c:multiLvlStrRef>
          </c:cat>
          <c:val>
            <c:numRef>
              <c:f>'Граф 3'!$B$7:$E$7</c:f>
              <c:numCache>
                <c:formatCode>0.0</c:formatCode>
                <c:ptCount val="4"/>
                <c:pt idx="0">
                  <c:v>0.48357271272409758</c:v>
                </c:pt>
                <c:pt idx="1">
                  <c:v>0.49247919142242069</c:v>
                </c:pt>
                <c:pt idx="2">
                  <c:v>0.31755872228850152</c:v>
                </c:pt>
                <c:pt idx="3">
                  <c:v>0.33888280420101052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5A-4708-B48D-59E7C154A2D3}"/>
            </c:ext>
          </c:extLst>
        </c:ser>
        <c:ser>
          <c:idx val="3"/>
          <c:order val="3"/>
          <c:tx>
            <c:strRef>
              <c:f>'Граф 3'!$A$8</c:f>
              <c:strCache>
                <c:ptCount val="1"/>
                <c:pt idx="0">
                  <c:v>Личне потребе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3'!$B$3:$E$4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Градска
насеља</c:v>
                  </c:pt>
                  <c:pt idx="2">
                    <c:v>Остала
насеља</c:v>
                  </c:pt>
                </c:lvl>
              </c:multiLvlStrCache>
            </c:multiLvlStrRef>
          </c:cat>
          <c:val>
            <c:numRef>
              <c:f>'Граф 3'!$B$8:$E$8</c:f>
              <c:numCache>
                <c:formatCode>0.0</c:formatCode>
                <c:ptCount val="4"/>
                <c:pt idx="0">
                  <c:v>11.348465345587178</c:v>
                </c:pt>
                <c:pt idx="1">
                  <c:v>11.572165640835454</c:v>
                </c:pt>
                <c:pt idx="2">
                  <c:v>11.40883027004147</c:v>
                </c:pt>
                <c:pt idx="3">
                  <c:v>11.545292775572578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5A-4708-B48D-59E7C154A2D3}"/>
            </c:ext>
          </c:extLst>
        </c:ser>
        <c:ser>
          <c:idx val="4"/>
          <c:order val="4"/>
          <c:tx>
            <c:strRef>
              <c:f>'Граф 3'!$A$9</c:f>
              <c:strCache>
                <c:ptCount val="1"/>
                <c:pt idx="0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'Граф 3'!$B$3:$E$4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Градска
насеља</c:v>
                  </c:pt>
                  <c:pt idx="2">
                    <c:v>Остала
насеља</c:v>
                  </c:pt>
                </c:lvl>
              </c:multiLvlStrCache>
            </c:multiLvlStrRef>
          </c:cat>
          <c:val>
            <c:numRef>
              <c:f>'Граф 3'!$B$9:$E$9</c:f>
              <c:numCache>
                <c:formatCode>0.0</c:formatCode>
                <c:ptCount val="4"/>
                <c:pt idx="0">
                  <c:v>6.5366316192258695</c:v>
                </c:pt>
                <c:pt idx="1">
                  <c:v>5.6116653037335498</c:v>
                </c:pt>
                <c:pt idx="2">
                  <c:v>5.7151788522442377</c:v>
                </c:pt>
                <c:pt idx="3">
                  <c:v>5.1907886827498144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25A-4708-B48D-59E7C154A2D3}"/>
            </c:ext>
          </c:extLst>
        </c:ser>
        <c:ser>
          <c:idx val="5"/>
          <c:order val="5"/>
          <c:tx>
            <c:strRef>
              <c:f>'Граф 3'!$A$10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'Граф 3'!$B$3:$E$4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Градска
насеља</c:v>
                  </c:pt>
                  <c:pt idx="2">
                    <c:v>Остала
насеља</c:v>
                  </c:pt>
                </c:lvl>
              </c:multiLvlStrCache>
            </c:multiLvlStrRef>
          </c:cat>
          <c:val>
            <c:numRef>
              <c:f>'Граф 3'!$B$10:$E$10</c:f>
              <c:numCache>
                <c:formatCode>0.0</c:formatCode>
                <c:ptCount val="4"/>
                <c:pt idx="0">
                  <c:v>2.218337833029594E-2</c:v>
                </c:pt>
                <c:pt idx="1">
                  <c:v>1.4270398807317647E-2</c:v>
                </c:pt>
                <c:pt idx="2">
                  <c:v>2.4964832761553403E-2</c:v>
                </c:pt>
                <c:pt idx="3">
                  <c:v>1.0534815619036001E-2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25A-4708-B48D-59E7C154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5464272"/>
        <c:axId val="1055463728"/>
      </c:barChart>
      <c:catAx>
        <c:axId val="1055464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3728"/>
        <c:crosses val="autoZero"/>
        <c:auto val="1"/>
        <c:lblAlgn val="ctr"/>
        <c:lblOffset val="100"/>
        <c:noMultiLvlLbl val="0"/>
      </c:catAx>
      <c:valAx>
        <c:axId val="105546372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427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462869405564447E-2"/>
          <c:y val="0.86408818205853066"/>
          <c:w val="0.93973097112860893"/>
          <c:h val="9.88745398710622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0613367113388711E-2"/>
          <c:y val="5.5734190782422297E-2"/>
          <c:w val="0.90257371393475272"/>
          <c:h val="0.699642673283203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 31'!$C$3</c:f>
              <c:strCache>
                <c:ptCount val="1"/>
                <c:pt idx="0">
                  <c:v>Жене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strRef>
              <c:f>'Граф 31'!$B$4:$B$8</c:f>
              <c:strCache>
                <c:ptCount val="5"/>
                <c:pt idx="0">
                  <c:v>Много више стресан</c:v>
                </c:pt>
                <c:pt idx="1">
                  <c:v>Нешто више стресан</c:v>
                </c:pt>
                <c:pt idx="2">
                  <c:v>Стресан као пре пандемије</c:v>
                </c:pt>
                <c:pt idx="3">
                  <c:v>Нешто мање стресан</c:v>
                </c:pt>
                <c:pt idx="4">
                  <c:v>Много мање стресан</c:v>
                </c:pt>
              </c:strCache>
            </c:strRef>
          </c:cat>
          <c:val>
            <c:numRef>
              <c:f>'Граф 31'!$C$4:$C$8</c:f>
              <c:numCache>
                <c:formatCode>0.0</c:formatCode>
                <c:ptCount val="5"/>
                <c:pt idx="0">
                  <c:v>9.905117425105324</c:v>
                </c:pt>
                <c:pt idx="1">
                  <c:v>37.0884382193249</c:v>
                </c:pt>
                <c:pt idx="2">
                  <c:v>50.08563866073446</c:v>
                </c:pt>
                <c:pt idx="3">
                  <c:v>2.5502215820297764</c:v>
                </c:pt>
                <c:pt idx="4">
                  <c:v>0.37058411280588566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FA4-4804-9EFC-91DAB59361CF}"/>
            </c:ext>
          </c:extLst>
        </c:ser>
        <c:ser>
          <c:idx val="1"/>
          <c:order val="1"/>
          <c:tx>
            <c:strRef>
              <c:f>'Граф 31'!$D$3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AC4EA8"/>
            </a:solidFill>
            <a:ln>
              <a:noFill/>
            </a:ln>
            <a:effectLst/>
          </c:spPr>
          <c:invertIfNegative val="0"/>
          <c:cat>
            <c:strRef>
              <c:f>'Граф 31'!$B$4:$B$8</c:f>
              <c:strCache>
                <c:ptCount val="5"/>
                <c:pt idx="0">
                  <c:v>Много више стресан</c:v>
                </c:pt>
                <c:pt idx="1">
                  <c:v>Нешто више стресан</c:v>
                </c:pt>
                <c:pt idx="2">
                  <c:v>Стресан као пре пандемије</c:v>
                </c:pt>
                <c:pt idx="3">
                  <c:v>Нешто мање стресан</c:v>
                </c:pt>
                <c:pt idx="4">
                  <c:v>Много мање стресан</c:v>
                </c:pt>
              </c:strCache>
            </c:strRef>
          </c:cat>
          <c:val>
            <c:numRef>
              <c:f>'Граф 31'!$D$4:$D$8</c:f>
              <c:numCache>
                <c:formatCode>0.0</c:formatCode>
                <c:ptCount val="5"/>
                <c:pt idx="0">
                  <c:v>7.1814529541555476</c:v>
                </c:pt>
                <c:pt idx="1">
                  <c:v>31.556377627194511</c:v>
                </c:pt>
                <c:pt idx="2">
                  <c:v>58.270046875885697</c:v>
                </c:pt>
                <c:pt idx="3">
                  <c:v>2.4684192326528942</c:v>
                </c:pt>
                <c:pt idx="4">
                  <c:v>0.52370331011168458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FA4-4804-9EFC-91DAB5936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8006224"/>
        <c:axId val="1197999696"/>
      </c:barChart>
      <c:catAx>
        <c:axId val="1198006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7999696"/>
        <c:crosses val="autoZero"/>
        <c:auto val="1"/>
        <c:lblAlgn val="ctr"/>
        <c:lblOffset val="100"/>
        <c:noMultiLvlLbl val="0"/>
      </c:catAx>
      <c:valAx>
        <c:axId val="1197999696"/>
        <c:scaling>
          <c:orientation val="minMax"/>
          <c:max val="6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06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427549755788254"/>
          <c:y val="3.5947712418300651E-2"/>
          <c:w val="0.8443366835713817"/>
          <c:h val="0.6562132674592148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'Граф 32'!$A$17</c:f>
              <c:strCache>
                <c:ptCount val="1"/>
                <c:pt idx="0">
                  <c:v>Лице је само током епизоде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32'!$B$15:$G$16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</c:v>
                  </c:pt>
                  <c:pt idx="2">
                    <c:v>30-64</c:v>
                  </c:pt>
                  <c:pt idx="4">
                    <c:v>65+</c:v>
                  </c:pt>
                </c:lvl>
              </c:multiLvlStrCache>
            </c:multiLvlStrRef>
          </c:cat>
          <c:val>
            <c:numRef>
              <c:f>'Граф 32'!$B$17:$G$17</c:f>
              <c:numCache>
                <c:formatCode>0.0</c:formatCode>
                <c:ptCount val="6"/>
                <c:pt idx="0">
                  <c:v>65.317160515639614</c:v>
                </c:pt>
                <c:pt idx="1">
                  <c:v>65.155713421816856</c:v>
                </c:pt>
                <c:pt idx="2">
                  <c:v>64.334231053446828</c:v>
                </c:pt>
                <c:pt idx="3">
                  <c:v>63.909759484355</c:v>
                </c:pt>
                <c:pt idx="4">
                  <c:v>66.663513226565968</c:v>
                </c:pt>
                <c:pt idx="5">
                  <c:v>74.245385603649069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0-48B8-AC93-18DA931C390B}"/>
            </c:ext>
          </c:extLst>
        </c:ser>
        <c:ser>
          <c:idx val="1"/>
          <c:order val="1"/>
          <c:tx>
            <c:strRef>
              <c:f>'Граф 32'!$A$18</c:f>
              <c:strCache>
                <c:ptCount val="1"/>
                <c:pt idx="0">
                  <c:v>Лице је са неким чланом домаћинства, без друге особе коју познаје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32'!$B$15:$G$16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</c:v>
                  </c:pt>
                  <c:pt idx="2">
                    <c:v>30-64</c:v>
                  </c:pt>
                  <c:pt idx="4">
                    <c:v>65+</c:v>
                  </c:pt>
                </c:lvl>
              </c:multiLvlStrCache>
            </c:multiLvlStrRef>
          </c:cat>
          <c:val>
            <c:numRef>
              <c:f>'Граф 32'!$B$18:$G$18</c:f>
              <c:numCache>
                <c:formatCode>0.0</c:formatCode>
                <c:ptCount val="6"/>
                <c:pt idx="0">
                  <c:v>13.848759957292527</c:v>
                </c:pt>
                <c:pt idx="1">
                  <c:v>18.531927829147641</c:v>
                </c:pt>
                <c:pt idx="2">
                  <c:v>18.894969985077914</c:v>
                </c:pt>
                <c:pt idx="3">
                  <c:v>23.460597628587841</c:v>
                </c:pt>
                <c:pt idx="4">
                  <c:v>25.816886483275763</c:v>
                </c:pt>
                <c:pt idx="5">
                  <c:v>18.067424446764939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0-48B8-AC93-18DA931C390B}"/>
            </c:ext>
          </c:extLst>
        </c:ser>
        <c:ser>
          <c:idx val="2"/>
          <c:order val="2"/>
          <c:tx>
            <c:strRef>
              <c:f>'Граф 32'!$A$19</c:f>
              <c:strCache>
                <c:ptCount val="1"/>
                <c:pt idx="0">
                  <c:v>Лице је са неким чланом домаћинства и присутна је друга особа коју познаје (није члан домаћинства)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32'!$B$15:$G$16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</c:v>
                  </c:pt>
                  <c:pt idx="2">
                    <c:v>30-64</c:v>
                  </c:pt>
                  <c:pt idx="4">
                    <c:v>65+</c:v>
                  </c:pt>
                </c:lvl>
              </c:multiLvlStrCache>
            </c:multiLvlStrRef>
          </c:cat>
          <c:val>
            <c:numRef>
              <c:f>'Граф 32'!$B$19:$G$19</c:f>
              <c:numCache>
                <c:formatCode>0.0</c:formatCode>
                <c:ptCount val="6"/>
                <c:pt idx="0">
                  <c:v>1.4843679999590791</c:v>
                </c:pt>
                <c:pt idx="1">
                  <c:v>2.8365966588031091</c:v>
                </c:pt>
                <c:pt idx="2">
                  <c:v>1.9539539873012022</c:v>
                </c:pt>
                <c:pt idx="3">
                  <c:v>2.1184115072093515</c:v>
                </c:pt>
                <c:pt idx="4">
                  <c:v>2.2612196805513318</c:v>
                </c:pt>
                <c:pt idx="5">
                  <c:v>1.5995039802871525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0-48B8-AC93-18DA931C390B}"/>
            </c:ext>
          </c:extLst>
        </c:ser>
        <c:ser>
          <c:idx val="3"/>
          <c:order val="3"/>
          <c:tx>
            <c:strRef>
              <c:f>'Граф 32'!$A$20</c:f>
              <c:strCache>
                <c:ptCount val="1"/>
                <c:pt idx="0">
                  <c:v>Лице је са другом особом коју познаје (није присутан члан домаћинства)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32'!$B$15:$G$16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15-29</c:v>
                  </c:pt>
                  <c:pt idx="2">
                    <c:v>30-64</c:v>
                  </c:pt>
                  <c:pt idx="4">
                    <c:v>65+</c:v>
                  </c:pt>
                </c:lvl>
              </c:multiLvlStrCache>
            </c:multiLvlStrRef>
          </c:cat>
          <c:val>
            <c:numRef>
              <c:f>'Граф 32'!$B$20:$G$20</c:f>
              <c:numCache>
                <c:formatCode>0.0</c:formatCode>
                <c:ptCount val="6"/>
                <c:pt idx="0">
                  <c:v>19.349711527108742</c:v>
                </c:pt>
                <c:pt idx="1">
                  <c:v>13.475762090232434</c:v>
                </c:pt>
                <c:pt idx="2">
                  <c:v>14.816844974174098</c:v>
                </c:pt>
                <c:pt idx="3">
                  <c:v>10.511231379847802</c:v>
                </c:pt>
                <c:pt idx="4">
                  <c:v>5.2583806096069505</c:v>
                </c:pt>
                <c:pt idx="5">
                  <c:v>6.0876859692988425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10-48B8-AC93-18DA931C39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198009488"/>
        <c:axId val="1198010032"/>
      </c:barChart>
      <c:catAx>
        <c:axId val="11980094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10032"/>
        <c:crosses val="autoZero"/>
        <c:auto val="1"/>
        <c:lblAlgn val="ctr"/>
        <c:lblOffset val="100"/>
        <c:noMultiLvlLbl val="0"/>
      </c:catAx>
      <c:valAx>
        <c:axId val="1198010032"/>
        <c:scaling>
          <c:orientation val="minMax"/>
          <c:max val="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094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0666535086725439E-2"/>
          <c:y val="0.75876563223714666"/>
          <c:w val="0.82547002397534919"/>
          <c:h val="0.225474756831866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6249315391088584E-2"/>
          <c:y val="6.5217391304347824E-2"/>
          <c:w val="0.92802721367683871"/>
          <c:h val="0.707349081364829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'Граф 33'!$A$14</c:f>
              <c:strCache>
                <c:ptCount val="1"/>
                <c:pt idx="0">
                  <c:v>Лице је само са партнером током епизоде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33'!$B$12:$I$13</c:f>
              <c:multiLvlStrCache>
                <c:ptCount val="8"/>
                <c:lvl>
                  <c:pt idx="0">
                    <c:v>жене</c:v>
                  </c:pt>
                  <c:pt idx="1">
                    <c:v>мушкарци</c:v>
                  </c:pt>
                  <c:pt idx="2">
                    <c:v>жене</c:v>
                  </c:pt>
                  <c:pt idx="3">
                    <c:v>мушкарци</c:v>
                  </c:pt>
                  <c:pt idx="4">
                    <c:v>жене</c:v>
                  </c:pt>
                  <c:pt idx="5">
                    <c:v>мушкарци</c:v>
                  </c:pt>
                  <c:pt idx="6">
                    <c:v>жене</c:v>
                  </c:pt>
                  <c:pt idx="7">
                    <c:v>мушкарци</c:v>
                  </c:pt>
                </c:lvl>
                <c:lvl>
                  <c:pt idx="0">
                    <c:v>15-29 година</c:v>
                  </c:pt>
                  <c:pt idx="2">
                    <c:v>30-64 година</c:v>
                  </c:pt>
                  <c:pt idx="4">
                    <c:v>65+ година</c:v>
                  </c:pt>
                  <c:pt idx="6">
                    <c:v>Укупно</c:v>
                  </c:pt>
                </c:lvl>
              </c:multiLvlStrCache>
            </c:multiLvlStrRef>
          </c:cat>
          <c:val>
            <c:numRef>
              <c:f>'Граф 33'!$B$14:$I$14</c:f>
              <c:numCache>
                <c:formatCode>###0.00</c:formatCode>
                <c:ptCount val="8"/>
                <c:pt idx="0">
                  <c:v>14.687797772209983</c:v>
                </c:pt>
                <c:pt idx="1">
                  <c:v>10.243183096666204</c:v>
                </c:pt>
                <c:pt idx="2">
                  <c:v>60.009796081225346</c:v>
                </c:pt>
                <c:pt idx="3">
                  <c:v>53.933451915546357</c:v>
                </c:pt>
                <c:pt idx="4">
                  <c:v>34.213397392825122</c:v>
                </c:pt>
                <c:pt idx="5">
                  <c:v>67.667541546030407</c:v>
                </c:pt>
                <c:pt idx="6">
                  <c:v>45.046705387620236</c:v>
                </c:pt>
                <c:pt idx="7">
                  <c:v>48.237845754260164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ED-496E-ABE7-16E78ED4C4CD}"/>
            </c:ext>
          </c:extLst>
        </c:ser>
        <c:ser>
          <c:idx val="1"/>
          <c:order val="1"/>
          <c:tx>
            <c:strRef>
              <c:f>'Граф 33'!$A$15</c:f>
              <c:strCache>
                <c:ptCount val="1"/>
                <c:pt idx="0">
                  <c:v>Лице је само са дететом 0-17 током епизоде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33'!$B$12:$I$13</c:f>
              <c:multiLvlStrCache>
                <c:ptCount val="8"/>
                <c:lvl>
                  <c:pt idx="0">
                    <c:v>жене</c:v>
                  </c:pt>
                  <c:pt idx="1">
                    <c:v>мушкарци</c:v>
                  </c:pt>
                  <c:pt idx="2">
                    <c:v>жене</c:v>
                  </c:pt>
                  <c:pt idx="3">
                    <c:v>мушкарци</c:v>
                  </c:pt>
                  <c:pt idx="4">
                    <c:v>жене</c:v>
                  </c:pt>
                  <c:pt idx="5">
                    <c:v>мушкарци</c:v>
                  </c:pt>
                  <c:pt idx="6">
                    <c:v>жене</c:v>
                  </c:pt>
                  <c:pt idx="7">
                    <c:v>мушкарци</c:v>
                  </c:pt>
                </c:lvl>
                <c:lvl>
                  <c:pt idx="0">
                    <c:v>15-29 година</c:v>
                  </c:pt>
                  <c:pt idx="2">
                    <c:v>30-64 година</c:v>
                  </c:pt>
                  <c:pt idx="4">
                    <c:v>65+ година</c:v>
                  </c:pt>
                  <c:pt idx="6">
                    <c:v>Укупно</c:v>
                  </c:pt>
                </c:lvl>
              </c:multiLvlStrCache>
            </c:multiLvlStrRef>
          </c:cat>
          <c:val>
            <c:numRef>
              <c:f>'Граф 33'!$B$15:$I$15</c:f>
              <c:numCache>
                <c:formatCode>###0.00</c:formatCode>
                <c:ptCount val="8"/>
                <c:pt idx="0">
                  <c:v>16.075530568702593</c:v>
                </c:pt>
                <c:pt idx="1">
                  <c:v>8.0456864255912741</c:v>
                </c:pt>
                <c:pt idx="2">
                  <c:v>26.62987200638608</c:v>
                </c:pt>
                <c:pt idx="3">
                  <c:v>14.676562958488972</c:v>
                </c:pt>
                <c:pt idx="4">
                  <c:v>3.0995497907878935</c:v>
                </c:pt>
                <c:pt idx="5">
                  <c:v>3.2417120567989834</c:v>
                </c:pt>
                <c:pt idx="6">
                  <c:v>18.26617967301955</c:v>
                </c:pt>
                <c:pt idx="7">
                  <c:v>10.777674898995203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ED-496E-ABE7-16E78ED4C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98007856"/>
        <c:axId val="1198011120"/>
      </c:barChart>
      <c:catAx>
        <c:axId val="1198007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11120"/>
        <c:crosses val="autoZero"/>
        <c:auto val="1"/>
        <c:lblAlgn val="ctr"/>
        <c:lblOffset val="100"/>
        <c:noMultiLvlLbl val="0"/>
      </c:catAx>
      <c:valAx>
        <c:axId val="119801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980078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9110489976631706"/>
          <c:y val="3.7510656436487641E-2"/>
          <c:w val="0.78812557521218951"/>
          <c:h val="0.76928314906928197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4'!$A$15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4'!$B$13:$G$14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Основно образовање или ниже</c:v>
                  </c:pt>
                  <c:pt idx="2">
                    <c:v>Средње образовање</c:v>
                  </c:pt>
                  <c:pt idx="4">
                    <c:v>Више / високо образовање</c:v>
                  </c:pt>
                </c:lvl>
              </c:multiLvlStrCache>
            </c:multiLvlStrRef>
          </c:cat>
          <c:val>
            <c:numRef>
              <c:f>'Граф 4'!$B$15:$G$15</c:f>
              <c:numCache>
                <c:formatCode>###0.00</c:formatCode>
                <c:ptCount val="6"/>
                <c:pt idx="0">
                  <c:v>2.3625880270501716</c:v>
                </c:pt>
                <c:pt idx="1">
                  <c:v>0.75156871119356683</c:v>
                </c:pt>
                <c:pt idx="2">
                  <c:v>4.2917336252313145</c:v>
                </c:pt>
                <c:pt idx="3">
                  <c:v>2.5941503787255509</c:v>
                </c:pt>
                <c:pt idx="4">
                  <c:v>4.4527345277309056</c:v>
                </c:pt>
                <c:pt idx="5">
                  <c:v>3.8126003290355164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0F7-466F-8FA9-FF1BBC7848FF}"/>
            </c:ext>
          </c:extLst>
        </c:ser>
        <c:ser>
          <c:idx val="1"/>
          <c:order val="1"/>
          <c:tx>
            <c:strRef>
              <c:f>'Граф 4'!$A$16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4'!$B$13:$G$14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Основно образовање или ниже</c:v>
                  </c:pt>
                  <c:pt idx="2">
                    <c:v>Средње образовање</c:v>
                  </c:pt>
                  <c:pt idx="4">
                    <c:v>Више / високо образовање</c:v>
                  </c:pt>
                </c:lvl>
              </c:multiLvlStrCache>
            </c:multiLvlStrRef>
          </c:cat>
          <c:val>
            <c:numRef>
              <c:f>'Граф 4'!$B$16:$G$16</c:f>
              <c:numCache>
                <c:formatCode>###0.00</c:formatCode>
                <c:ptCount val="6"/>
                <c:pt idx="0">
                  <c:v>2.0516614987030253</c:v>
                </c:pt>
                <c:pt idx="1">
                  <c:v>4.2443537090742662</c:v>
                </c:pt>
                <c:pt idx="2">
                  <c:v>2.1339148413434983</c:v>
                </c:pt>
                <c:pt idx="3">
                  <c:v>4.3542869204229824</c:v>
                </c:pt>
                <c:pt idx="4">
                  <c:v>1.7764946575389928</c:v>
                </c:pt>
                <c:pt idx="5">
                  <c:v>3.5831591099152305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0F7-466F-8FA9-FF1BBC7848FF}"/>
            </c:ext>
          </c:extLst>
        </c:ser>
        <c:ser>
          <c:idx val="2"/>
          <c:order val="2"/>
          <c:tx>
            <c:strRef>
              <c:f>'Граф 4'!$A$17</c:f>
              <c:strCache>
                <c:ptCount val="1"/>
                <c:pt idx="0">
                  <c:v>Учење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4'!$B$13:$G$14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Основно образовање или ниже</c:v>
                  </c:pt>
                  <c:pt idx="2">
                    <c:v>Средње образовање</c:v>
                  </c:pt>
                  <c:pt idx="4">
                    <c:v>Више / високо образовање</c:v>
                  </c:pt>
                </c:lvl>
              </c:multiLvlStrCache>
            </c:multiLvlStrRef>
          </c:cat>
          <c:val>
            <c:numRef>
              <c:f>'Граф 4'!$B$17:$G$17</c:f>
              <c:numCache>
                <c:formatCode>###0.00</c:formatCode>
                <c:ptCount val="6"/>
                <c:pt idx="0">
                  <c:v>1.1276398179418901</c:v>
                </c:pt>
                <c:pt idx="1">
                  <c:v>0.66234468910591415</c:v>
                </c:pt>
                <c:pt idx="2">
                  <c:v>0.23406469240885974</c:v>
                </c:pt>
                <c:pt idx="3">
                  <c:v>0.42881733791599264</c:v>
                </c:pt>
                <c:pt idx="4">
                  <c:v>0.26453827687006232</c:v>
                </c:pt>
                <c:pt idx="5">
                  <c:v>0.18362867909217664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F7-466F-8FA9-FF1BBC7848FF}"/>
            </c:ext>
          </c:extLst>
        </c:ser>
        <c:ser>
          <c:idx val="3"/>
          <c:order val="3"/>
          <c:tx>
            <c:strRef>
              <c:f>'Граф 4'!$A$18</c:f>
              <c:strCache>
                <c:ptCount val="1"/>
                <c:pt idx="0">
                  <c:v>Личне потребе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4'!$B$13:$G$14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Основно образовање или ниже</c:v>
                  </c:pt>
                  <c:pt idx="2">
                    <c:v>Средње образовање</c:v>
                  </c:pt>
                  <c:pt idx="4">
                    <c:v>Више / високо образовање</c:v>
                  </c:pt>
                </c:lvl>
              </c:multiLvlStrCache>
            </c:multiLvlStrRef>
          </c:cat>
          <c:val>
            <c:numRef>
              <c:f>'Граф 4'!$B$18:$G$18</c:f>
              <c:numCache>
                <c:formatCode>###0.00</c:formatCode>
                <c:ptCount val="6"/>
                <c:pt idx="0">
                  <c:v>11.677449809690199</c:v>
                </c:pt>
                <c:pt idx="1">
                  <c:v>12.179715740079514</c:v>
                </c:pt>
                <c:pt idx="2">
                  <c:v>11.324393480648878</c:v>
                </c:pt>
                <c:pt idx="3">
                  <c:v>11.48422041219936</c:v>
                </c:pt>
                <c:pt idx="4">
                  <c:v>11.21838875860298</c:v>
                </c:pt>
                <c:pt idx="5">
                  <c:v>11.025127613590909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0F7-466F-8FA9-FF1BBC7848FF}"/>
            </c:ext>
          </c:extLst>
        </c:ser>
        <c:ser>
          <c:idx val="4"/>
          <c:order val="4"/>
          <c:tx>
            <c:strRef>
              <c:f>'Граф 4'!$A$19</c:f>
              <c:strCache>
                <c:ptCount val="1"/>
                <c:pt idx="0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'Граф 4'!$B$13:$G$14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Основно образовање или ниже</c:v>
                  </c:pt>
                  <c:pt idx="2">
                    <c:v>Средње образовање</c:v>
                  </c:pt>
                  <c:pt idx="4">
                    <c:v>Више / високо образовање</c:v>
                  </c:pt>
                </c:lvl>
              </c:multiLvlStrCache>
            </c:multiLvlStrRef>
          </c:cat>
          <c:val>
            <c:numRef>
              <c:f>'Граф 4'!$B$19:$G$19</c:f>
              <c:numCache>
                <c:formatCode>###0.00</c:formatCode>
                <c:ptCount val="6"/>
                <c:pt idx="0">
                  <c:v>6.7504136604962843</c:v>
                </c:pt>
                <c:pt idx="1">
                  <c:v>6.1474926343470155</c:v>
                </c:pt>
                <c:pt idx="2">
                  <c:v>5.9971150109219229</c:v>
                </c:pt>
                <c:pt idx="3">
                  <c:v>5.1231510330525474</c:v>
                </c:pt>
                <c:pt idx="4">
                  <c:v>6.2562465070950264</c:v>
                </c:pt>
                <c:pt idx="5">
                  <c:v>5.3902193552326354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0F7-466F-8FA9-FF1BBC7848FF}"/>
            </c:ext>
          </c:extLst>
        </c:ser>
        <c:ser>
          <c:idx val="5"/>
          <c:order val="5"/>
          <c:tx>
            <c:strRef>
              <c:f>'Граф 4'!$A$20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'Граф 4'!$B$13:$G$14</c:f>
              <c:multiLvlStrCache>
                <c:ptCount val="6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</c:lvl>
                <c:lvl>
                  <c:pt idx="0">
                    <c:v>Основно образовање или ниже</c:v>
                  </c:pt>
                  <c:pt idx="2">
                    <c:v>Средње образовање</c:v>
                  </c:pt>
                  <c:pt idx="4">
                    <c:v>Више / високо образовање</c:v>
                  </c:pt>
                </c:lvl>
              </c:multiLvlStrCache>
            </c:multiLvlStrRef>
          </c:cat>
          <c:val>
            <c:numRef>
              <c:f>'Граф 4'!$B$20:$G$20</c:f>
              <c:numCache>
                <c:formatCode>###0.00</c:formatCode>
                <c:ptCount val="6"/>
                <c:pt idx="0">
                  <c:v>3.0247186118431076E-2</c:v>
                </c:pt>
                <c:pt idx="1">
                  <c:v>1.4524516199712432E-2</c:v>
                </c:pt>
                <c:pt idx="2">
                  <c:v>1.8778349445515409E-2</c:v>
                </c:pt>
                <c:pt idx="3">
                  <c:v>1.5373917683564116E-2</c:v>
                </c:pt>
                <c:pt idx="4">
                  <c:v>3.1597272162040474E-2</c:v>
                </c:pt>
                <c:pt idx="5">
                  <c:v>5.2649131335151143E-3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0F7-466F-8FA9-FF1BBC784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5461552"/>
        <c:axId val="1055464816"/>
      </c:barChart>
      <c:catAx>
        <c:axId val="1055461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4816"/>
        <c:crosses val="autoZero"/>
        <c:auto val="1"/>
        <c:lblAlgn val="ctr"/>
        <c:lblOffset val="100"/>
        <c:noMultiLvlLbl val="0"/>
      </c:catAx>
      <c:valAx>
        <c:axId val="1055464816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1552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324898224827688"/>
          <c:y val="0.88770673486786023"/>
          <c:w val="0.81582832448974185"/>
          <c:h val="8.79255694061260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585449706110679"/>
          <c:y val="4.4511879605720971E-2"/>
          <c:w val="0.75167810596445395"/>
          <c:h val="0.7100345771594475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5'!$A$15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5'!$B$13:$E$14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Лица која нису запослена</c:v>
                  </c:pt>
                  <c:pt idx="2">
                    <c:v>Запослена лица</c:v>
                  </c:pt>
                </c:lvl>
              </c:multiLvlStrCache>
            </c:multiLvlStrRef>
          </c:cat>
          <c:val>
            <c:numRef>
              <c:f>'Граф 5'!$B$15:$E$15</c:f>
              <c:numCache>
                <c:formatCode>###0.00</c:formatCode>
                <c:ptCount val="4"/>
                <c:pt idx="0">
                  <c:v>0.91638730323902695</c:v>
                </c:pt>
                <c:pt idx="1">
                  <c:v>0.46236411768229729</c:v>
                </c:pt>
                <c:pt idx="2">
                  <c:v>6.7996248720621422</c:v>
                </c:pt>
                <c:pt idx="3">
                  <c:v>5.7034779820264232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A4-48D2-ACA0-3D0D6A19C033}"/>
            </c:ext>
          </c:extLst>
        </c:ser>
        <c:ser>
          <c:idx val="1"/>
          <c:order val="1"/>
          <c:tx>
            <c:strRef>
              <c:f>'Граф 5'!$A$16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5'!$B$13:$E$14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Лица која нису запослена</c:v>
                  </c:pt>
                  <c:pt idx="2">
                    <c:v>Запослена лица</c:v>
                  </c:pt>
                </c:lvl>
              </c:multiLvlStrCache>
            </c:multiLvlStrRef>
          </c:cat>
          <c:val>
            <c:numRef>
              <c:f>'Граф 5'!$B$16:$E$16</c:f>
              <c:numCache>
                <c:formatCode>###0.00</c:formatCode>
                <c:ptCount val="4"/>
                <c:pt idx="0">
                  <c:v>2.5811197879750836</c:v>
                </c:pt>
                <c:pt idx="1">
                  <c:v>4.6688793103477861</c:v>
                </c:pt>
                <c:pt idx="2">
                  <c:v>1.5546015539224913</c:v>
                </c:pt>
                <c:pt idx="3">
                  <c:v>3.2577156734109183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A4-48D2-ACA0-3D0D6A19C033}"/>
            </c:ext>
          </c:extLst>
        </c:ser>
        <c:ser>
          <c:idx val="2"/>
          <c:order val="2"/>
          <c:tx>
            <c:strRef>
              <c:f>'Граф 5'!$A$17</c:f>
              <c:strCache>
                <c:ptCount val="1"/>
                <c:pt idx="0">
                  <c:v>Учење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5'!$B$13:$E$14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Лица која нису запослена</c:v>
                  </c:pt>
                  <c:pt idx="2">
                    <c:v>Запослена лица</c:v>
                  </c:pt>
                </c:lvl>
              </c:multiLvlStrCache>
            </c:multiLvlStrRef>
          </c:cat>
          <c:val>
            <c:numRef>
              <c:f>'Граф 5'!$B$17:$E$17</c:f>
              <c:numCache>
                <c:formatCode>###0.00</c:formatCode>
                <c:ptCount val="4"/>
                <c:pt idx="0">
                  <c:v>0.8205230254537722</c:v>
                </c:pt>
                <c:pt idx="1">
                  <c:v>0.65889131755571917</c:v>
                </c:pt>
                <c:pt idx="2">
                  <c:v>3.0416965016858588E-2</c:v>
                </c:pt>
                <c:pt idx="3">
                  <c:v>4.7630336519957343E-2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A4-48D2-ACA0-3D0D6A19C033}"/>
            </c:ext>
          </c:extLst>
        </c:ser>
        <c:ser>
          <c:idx val="3"/>
          <c:order val="3"/>
          <c:tx>
            <c:strRef>
              <c:f>'Граф 5'!$A$18</c:f>
              <c:strCache>
                <c:ptCount val="1"/>
                <c:pt idx="0">
                  <c:v>Личне потребе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5'!$B$13:$E$14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Лица која нису запослена</c:v>
                  </c:pt>
                  <c:pt idx="2">
                    <c:v>Запослена лица</c:v>
                  </c:pt>
                </c:lvl>
              </c:multiLvlStrCache>
            </c:multiLvlStrRef>
          </c:cat>
          <c:val>
            <c:numRef>
              <c:f>'Граф 5'!$B$18:$E$18</c:f>
              <c:numCache>
                <c:formatCode>###0.00</c:formatCode>
                <c:ptCount val="4"/>
                <c:pt idx="0">
                  <c:v>12.026912783413669</c:v>
                </c:pt>
                <c:pt idx="1">
                  <c:v>11.982318474704698</c:v>
                </c:pt>
                <c:pt idx="2">
                  <c:v>10.758374222211128</c:v>
                </c:pt>
                <c:pt idx="3">
                  <c:v>10.838630311815685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A4-48D2-ACA0-3D0D6A19C033}"/>
            </c:ext>
          </c:extLst>
        </c:ser>
        <c:ser>
          <c:idx val="4"/>
          <c:order val="4"/>
          <c:tx>
            <c:strRef>
              <c:f>'Граф 5'!$A$19</c:f>
              <c:strCache>
                <c:ptCount val="1"/>
                <c:pt idx="0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'Граф 5'!$B$13:$E$14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Лица која нису запослена</c:v>
                  </c:pt>
                  <c:pt idx="2">
                    <c:v>Запослена лица</c:v>
                  </c:pt>
                </c:lvl>
              </c:multiLvlStrCache>
            </c:multiLvlStrRef>
          </c:cat>
          <c:val>
            <c:numRef>
              <c:f>'Граф 5'!$B$19:$E$19</c:f>
              <c:numCache>
                <c:formatCode>###0.00</c:formatCode>
                <c:ptCount val="4"/>
                <c:pt idx="0">
                  <c:v>7.6279245671554134</c:v>
                </c:pt>
                <c:pt idx="1">
                  <c:v>6.2141198009382395</c:v>
                </c:pt>
                <c:pt idx="2">
                  <c:v>4.8371914125190454</c:v>
                </c:pt>
                <c:pt idx="3">
                  <c:v>4.1406782603885564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A4-48D2-ACA0-3D0D6A19C033}"/>
            </c:ext>
          </c:extLst>
        </c:ser>
        <c:ser>
          <c:idx val="5"/>
          <c:order val="5"/>
          <c:tx>
            <c:strRef>
              <c:f>'Граф 5'!$A$20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'Граф 5'!$B$13:$E$14</c:f>
              <c:multiLvlStrCache>
                <c:ptCount val="4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</c:lvl>
                <c:lvl>
                  <c:pt idx="0">
                    <c:v>Лица која нису запослена</c:v>
                  </c:pt>
                  <c:pt idx="2">
                    <c:v>Запослена лица</c:v>
                  </c:pt>
                </c:lvl>
              </c:multiLvlStrCache>
            </c:multiLvlStrRef>
          </c:cat>
          <c:val>
            <c:numRef>
              <c:f>'Граф 5'!$B$20:$E$20</c:f>
              <c:numCache>
                <c:formatCode>###0.00</c:formatCode>
                <c:ptCount val="4"/>
                <c:pt idx="0">
                  <c:v>2.7132532763027139E-2</c:v>
                </c:pt>
                <c:pt idx="1">
                  <c:v>1.3426978771248328E-2</c:v>
                </c:pt>
                <c:pt idx="2">
                  <c:v>1.9790974268345748E-2</c:v>
                </c:pt>
                <c:pt idx="3">
                  <c:v>1.1867435838465414E-2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FA4-48D2-ACA0-3D0D6A19C0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5465904"/>
        <c:axId val="1055462096"/>
      </c:barChart>
      <c:catAx>
        <c:axId val="105546590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2096"/>
        <c:crosses val="autoZero"/>
        <c:auto val="1"/>
        <c:lblAlgn val="ctr"/>
        <c:lblOffset val="100"/>
        <c:noMultiLvlLbl val="0"/>
      </c:catAx>
      <c:valAx>
        <c:axId val="1055462096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65904"/>
        <c:crosses val="autoZero"/>
        <c:crossBetween val="between"/>
        <c:majorUnit val="4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3170349011537881E-2"/>
          <c:y val="0.81482261522108734"/>
          <c:w val="0.85815566481419869"/>
          <c:h val="0.149306649168853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1253093070824092"/>
          <c:y val="2.8620421910500231E-2"/>
          <c:w val="0.76045197832803069"/>
          <c:h val="0.8402621714558835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'Граф 6'!$A$56</c:f>
              <c:strCache>
                <c:ptCount val="1"/>
                <c:pt idx="0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multiLvlStrRef>
              <c:f>'Граф 6'!$B$54:$K$55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
брака са дететом 
до 17 година</c:v>
                  </c:pt>
                  <c:pt idx="8">
                    <c:v>Лица ван 
брака без детета
до 17 година</c:v>
                  </c:pt>
                </c:lvl>
              </c:multiLvlStrCache>
            </c:multiLvlStrRef>
          </c:cat>
          <c:val>
            <c:numRef>
              <c:f>'Граф 6'!$B$56:$K$56</c:f>
              <c:numCache>
                <c:formatCode>0.00</c:formatCode>
                <c:ptCount val="10"/>
                <c:pt idx="0">
                  <c:v>3.1624096012385747</c:v>
                </c:pt>
                <c:pt idx="1">
                  <c:v>2.4969422613762497</c:v>
                </c:pt>
                <c:pt idx="2">
                  <c:v>6.4909005499353896</c:v>
                </c:pt>
                <c:pt idx="3">
                  <c:v>2.1792229534200711</c:v>
                </c:pt>
                <c:pt idx="4">
                  <c:v>6.0991156651985756</c:v>
                </c:pt>
                <c:pt idx="5">
                  <c:v>4.2882257687520484</c:v>
                </c:pt>
                <c:pt idx="7">
                  <c:v>4.6461378537981899</c:v>
                </c:pt>
                <c:pt idx="8">
                  <c:v>3.5168518483638049</c:v>
                </c:pt>
                <c:pt idx="9">
                  <c:v>1.7266078358478076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D7-4BB0-94AA-31C986484E26}"/>
            </c:ext>
          </c:extLst>
        </c:ser>
        <c:ser>
          <c:idx val="1"/>
          <c:order val="1"/>
          <c:tx>
            <c:strRef>
              <c:f>'Граф 6'!$A$57</c:f>
              <c:strCache>
                <c:ptCount val="1"/>
                <c:pt idx="0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multiLvlStrRef>
              <c:f>'Граф 6'!$B$54:$K$55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
брака са дететом 
до 17 година</c:v>
                  </c:pt>
                  <c:pt idx="8">
                    <c:v>Лица ван 
брака без детета
до 17 година</c:v>
                  </c:pt>
                </c:lvl>
              </c:multiLvlStrCache>
            </c:multiLvlStrRef>
          </c:cat>
          <c:val>
            <c:numRef>
              <c:f>'Граф 6'!$B$57:$K$57</c:f>
              <c:numCache>
                <c:formatCode>0.00</c:formatCode>
                <c:ptCount val="10"/>
                <c:pt idx="0">
                  <c:v>2.5088613528105119</c:v>
                </c:pt>
                <c:pt idx="1">
                  <c:v>4.7011408917584596</c:v>
                </c:pt>
                <c:pt idx="2">
                  <c:v>2.4929587621560998</c:v>
                </c:pt>
                <c:pt idx="3">
                  <c:v>7.0244782978318874</c:v>
                </c:pt>
                <c:pt idx="4">
                  <c:v>1.7359826930119335</c:v>
                </c:pt>
                <c:pt idx="5">
                  <c:v>4.5931435545656649</c:v>
                </c:pt>
                <c:pt idx="7">
                  <c:v>4.9227491614544627</c:v>
                </c:pt>
                <c:pt idx="8">
                  <c:v>1.6247612723961278</c:v>
                </c:pt>
                <c:pt idx="9">
                  <c:v>2.9922483580468611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D7-4BB0-94AA-31C986484E26}"/>
            </c:ext>
          </c:extLst>
        </c:ser>
        <c:ser>
          <c:idx val="2"/>
          <c:order val="2"/>
          <c:tx>
            <c:strRef>
              <c:f>'Граф 6'!$A$58</c:f>
              <c:strCache>
                <c:ptCount val="1"/>
                <c:pt idx="0">
                  <c:v>Учење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multiLvlStrRef>
              <c:f>'Граф 6'!$B$54:$K$55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
брака са дететом 
до 17 година</c:v>
                  </c:pt>
                  <c:pt idx="8">
                    <c:v>Лица ван 
брака без детета
до 17 година</c:v>
                  </c:pt>
                </c:lvl>
              </c:multiLvlStrCache>
            </c:multiLvlStrRef>
          </c:cat>
          <c:val>
            <c:numRef>
              <c:f>'Граф 6'!$B$58:$K$58</c:f>
              <c:numCache>
                <c:formatCode>0.00</c:formatCode>
                <c:ptCount val="10"/>
                <c:pt idx="0">
                  <c:v>1.2784364438167078E-2</c:v>
                </c:pt>
                <c:pt idx="1">
                  <c:v>6.2511107502022212E-2</c:v>
                </c:pt>
                <c:pt idx="2">
                  <c:v>0</c:v>
                </c:pt>
                <c:pt idx="3">
                  <c:v>8.562375824048056E-2</c:v>
                </c:pt>
                <c:pt idx="4">
                  <c:v>0</c:v>
                </c:pt>
                <c:pt idx="5">
                  <c:v>3.1968057768549047E-3</c:v>
                </c:pt>
                <c:pt idx="7">
                  <c:v>0</c:v>
                </c:pt>
                <c:pt idx="8">
                  <c:v>0.95376972428833051</c:v>
                </c:pt>
                <c:pt idx="9">
                  <c:v>0.93612102916676132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7-4BB0-94AA-31C986484E26}"/>
            </c:ext>
          </c:extLst>
        </c:ser>
        <c:ser>
          <c:idx val="3"/>
          <c:order val="3"/>
          <c:tx>
            <c:strRef>
              <c:f>'Граф 6'!$A$59</c:f>
              <c:strCache>
                <c:ptCount val="1"/>
                <c:pt idx="0">
                  <c:v>Личне потребе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multiLvlStrRef>
              <c:f>'Граф 6'!$B$54:$K$55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
брака са дететом 
до 17 година</c:v>
                  </c:pt>
                  <c:pt idx="8">
                    <c:v>Лица ван 
брака без детета
до 17 година</c:v>
                  </c:pt>
                </c:lvl>
              </c:multiLvlStrCache>
            </c:multiLvlStrRef>
          </c:cat>
          <c:val>
            <c:numRef>
              <c:f>'Граф 6'!$B$59:$K$59</c:f>
              <c:numCache>
                <c:formatCode>0.00</c:formatCode>
                <c:ptCount val="10"/>
                <c:pt idx="0">
                  <c:v>11.70826957404063</c:v>
                </c:pt>
                <c:pt idx="1">
                  <c:v>11.5015073836508</c:v>
                </c:pt>
                <c:pt idx="2">
                  <c:v>10.549017892381581</c:v>
                </c:pt>
                <c:pt idx="3">
                  <c:v>10.643013508497569</c:v>
                </c:pt>
                <c:pt idx="4">
                  <c:v>10.922740862517401</c:v>
                </c:pt>
                <c:pt idx="5">
                  <c:v>10.860160279726683</c:v>
                </c:pt>
                <c:pt idx="7">
                  <c:v>10.488754925562738</c:v>
                </c:pt>
                <c:pt idx="8">
                  <c:v>11.387896145082342</c:v>
                </c:pt>
                <c:pt idx="9">
                  <c:v>12.030711065197719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D7-4BB0-94AA-31C986484E26}"/>
            </c:ext>
          </c:extLst>
        </c:ser>
        <c:ser>
          <c:idx val="4"/>
          <c:order val="4"/>
          <c:tx>
            <c:strRef>
              <c:f>'Граф 6'!$A$60</c:f>
              <c:strCache>
                <c:ptCount val="1"/>
                <c:pt idx="0">
                  <c:v>Слоодно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multiLvlStrRef>
              <c:f>'Граф 6'!$B$54:$K$55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
брака са дететом 
до 17 година</c:v>
                  </c:pt>
                  <c:pt idx="8">
                    <c:v>Лица ван 
брака без детета
до 17 година</c:v>
                  </c:pt>
                </c:lvl>
              </c:multiLvlStrCache>
            </c:multiLvlStrRef>
          </c:cat>
          <c:val>
            <c:numRef>
              <c:f>'Граф 6'!$B$60:$K$60</c:f>
              <c:numCache>
                <c:formatCode>0.00</c:formatCode>
                <c:ptCount val="10"/>
                <c:pt idx="0">
                  <c:v>6.5832131698153056</c:v>
                </c:pt>
                <c:pt idx="1">
                  <c:v>5.2260450858934462</c:v>
                </c:pt>
                <c:pt idx="2">
                  <c:v>4.4499771850243128</c:v>
                </c:pt>
                <c:pt idx="3">
                  <c:v>4.060190447734362</c:v>
                </c:pt>
                <c:pt idx="4">
                  <c:v>5.2359789010115092</c:v>
                </c:pt>
                <c:pt idx="5">
                  <c:v>4.2470162215650218</c:v>
                </c:pt>
                <c:pt idx="7">
                  <c:v>3.9257280107290566</c:v>
                </c:pt>
                <c:pt idx="8">
                  <c:v>6.4885075532078531</c:v>
                </c:pt>
                <c:pt idx="9">
                  <c:v>6.2987451912762777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D7-4BB0-94AA-31C986484E26}"/>
            </c:ext>
          </c:extLst>
        </c:ser>
        <c:ser>
          <c:idx val="5"/>
          <c:order val="5"/>
          <c:tx>
            <c:strRef>
              <c:f>'Граф 6'!$A$61</c:f>
              <c:strCache>
                <c:ptCount val="1"/>
                <c:pt idx="0">
                  <c:v>Остало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multiLvlStrRef>
              <c:f>'Граф 6'!$B$54:$K$55</c:f>
              <c:multiLvlStrCache>
                <c:ptCount val="10"/>
                <c:lvl>
                  <c:pt idx="0">
                    <c:v>Мушкарци</c:v>
                  </c:pt>
                  <c:pt idx="1">
                    <c:v>Жене</c:v>
                  </c:pt>
                  <c:pt idx="2">
                    <c:v>Мушкарци</c:v>
                  </c:pt>
                  <c:pt idx="3">
                    <c:v>Жене</c:v>
                  </c:pt>
                  <c:pt idx="4">
                    <c:v>Мушкарци</c:v>
                  </c:pt>
                  <c:pt idx="5">
                    <c:v>Жене</c:v>
                  </c:pt>
                  <c:pt idx="6">
                    <c:v>Мушкарци</c:v>
                  </c:pt>
                  <c:pt idx="7">
                    <c:v>Жене</c:v>
                  </c:pt>
                  <c:pt idx="8">
                    <c:v>Мушкарци</c:v>
                  </c:pt>
                  <c:pt idx="9">
                    <c:v>Жене</c:v>
                  </c:pt>
                </c:lvl>
                <c:lvl>
                  <c:pt idx="0">
                    <c:v>У браку/ заједници без детета до 17 година</c:v>
                  </c:pt>
                  <c:pt idx="2">
                    <c:v>У браку/ заједници са најмлађим дететом од 0 до 6 година</c:v>
                  </c:pt>
                  <c:pt idx="4">
                    <c:v>У браку/ заједници са најмлађим дететом од 7 до 17 година</c:v>
                  </c:pt>
                  <c:pt idx="6">
                    <c:v>Лица ван 
брака са дететом 
до 17 година</c:v>
                  </c:pt>
                  <c:pt idx="8">
                    <c:v>Лица ван 
брака без детета
до 17 година</c:v>
                  </c:pt>
                </c:lvl>
              </c:multiLvlStrCache>
            </c:multiLvlStrRef>
          </c:cat>
          <c:val>
            <c:numRef>
              <c:f>'Граф 6'!$B$61:$K$61</c:f>
              <c:numCache>
                <c:formatCode>0.00</c:formatCode>
                <c:ptCount val="10"/>
                <c:pt idx="0">
                  <c:v>2.4461937656806199E-2</c:v>
                </c:pt>
                <c:pt idx="1">
                  <c:v>1.1853269819041763E-2</c:v>
                </c:pt>
                <c:pt idx="2">
                  <c:v>1.7145610502599662E-2</c:v>
                </c:pt>
                <c:pt idx="3">
                  <c:v>7.4710342756359712E-3</c:v>
                </c:pt>
                <c:pt idx="4">
                  <c:v>6.1818782605889628E-3</c:v>
                </c:pt>
                <c:pt idx="5">
                  <c:v>8.2573696137224085E-3</c:v>
                </c:pt>
                <c:pt idx="7">
                  <c:v>1.663004845555556E-2</c:v>
                </c:pt>
                <c:pt idx="8">
                  <c:v>2.8213456661547627E-2</c:v>
                </c:pt>
                <c:pt idx="9">
                  <c:v>1.5566520464578184E-2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D7-4BB0-94AA-31C986484E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055471888"/>
        <c:axId val="1055458288"/>
      </c:barChart>
      <c:catAx>
        <c:axId val="10554718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58288"/>
        <c:crosses val="autoZero"/>
        <c:auto val="1"/>
        <c:lblAlgn val="ctr"/>
        <c:lblOffset val="100"/>
        <c:noMultiLvlLbl val="0"/>
      </c:catAx>
      <c:valAx>
        <c:axId val="1055458288"/>
        <c:scaling>
          <c:orientation val="minMax"/>
          <c:max val="2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71888"/>
        <c:crosses val="autoZero"/>
        <c:crossBetween val="between"/>
        <c:majorUnit val="6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1767206934658292"/>
          <c:y val="0.92796630827171611"/>
          <c:w val="0.73481478078725704"/>
          <c:h val="4.52305753911513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1'!$B$5:$B$52</c:f>
              <c:numCache>
                <c:formatCode>###0.0%</c:formatCode>
                <c:ptCount val="48"/>
                <c:pt idx="0">
                  <c:v>8.9929480155262025E-3</c:v>
                </c:pt>
                <c:pt idx="1">
                  <c:v>1.1177944660239801E-2</c:v>
                </c:pt>
                <c:pt idx="2">
                  <c:v>2.0134355159145481E-2</c:v>
                </c:pt>
                <c:pt idx="3">
                  <c:v>4.2546629883944441E-2</c:v>
                </c:pt>
                <c:pt idx="4">
                  <c:v>7.5480004928049169E-2</c:v>
                </c:pt>
                <c:pt idx="5">
                  <c:v>0.12739851738618649</c:v>
                </c:pt>
                <c:pt idx="6">
                  <c:v>0.18778303634450086</c:v>
                </c:pt>
                <c:pt idx="7">
                  <c:v>0.23399759253385333</c:v>
                </c:pt>
                <c:pt idx="8">
                  <c:v>0.27943505601043422</c:v>
                </c:pt>
                <c:pt idx="9">
                  <c:v>0.30010510339048002</c:v>
                </c:pt>
                <c:pt idx="10">
                  <c:v>0.29086488915610503</c:v>
                </c:pt>
                <c:pt idx="11">
                  <c:v>0.3119931396006882</c:v>
                </c:pt>
                <c:pt idx="12">
                  <c:v>0.26065732979766593</c:v>
                </c:pt>
                <c:pt idx="13">
                  <c:v>0.31801583236050796</c:v>
                </c:pt>
                <c:pt idx="14">
                  <c:v>0.32637596496822324</c:v>
                </c:pt>
                <c:pt idx="15">
                  <c:v>0.35021364041816627</c:v>
                </c:pt>
                <c:pt idx="16">
                  <c:v>0.34599358964836052</c:v>
                </c:pt>
                <c:pt idx="17">
                  <c:v>0.36339248468251012</c:v>
                </c:pt>
                <c:pt idx="18">
                  <c:v>0.33186913735293422</c:v>
                </c:pt>
                <c:pt idx="19">
                  <c:v>0.34426464778564492</c:v>
                </c:pt>
                <c:pt idx="20">
                  <c:v>0.32834620630684058</c:v>
                </c:pt>
                <c:pt idx="21">
                  <c:v>0.312380209310122</c:v>
                </c:pt>
                <c:pt idx="22">
                  <c:v>0.28517174522310124</c:v>
                </c:pt>
                <c:pt idx="23">
                  <c:v>0.22993137972660185</c:v>
                </c:pt>
                <c:pt idx="24">
                  <c:v>0.20012597571718641</c:v>
                </c:pt>
                <c:pt idx="25">
                  <c:v>0.17062942074291754</c:v>
                </c:pt>
                <c:pt idx="26">
                  <c:v>0.15026557150536243</c:v>
                </c:pt>
                <c:pt idx="27">
                  <c:v>0.13669504337208446</c:v>
                </c:pt>
                <c:pt idx="28">
                  <c:v>0.11146490292577421</c:v>
                </c:pt>
                <c:pt idx="29">
                  <c:v>0.10608003261878775</c:v>
                </c:pt>
                <c:pt idx="30">
                  <c:v>7.9031619638611009E-2</c:v>
                </c:pt>
                <c:pt idx="31">
                  <c:v>6.9621710156442515E-2</c:v>
                </c:pt>
                <c:pt idx="32">
                  <c:v>5.745859931932111E-2</c:v>
                </c:pt>
                <c:pt idx="33">
                  <c:v>5.2890097684151136E-2</c:v>
                </c:pt>
                <c:pt idx="34">
                  <c:v>4.5977704346684974E-2</c:v>
                </c:pt>
                <c:pt idx="35">
                  <c:v>4.5894304871265487E-2</c:v>
                </c:pt>
                <c:pt idx="36">
                  <c:v>4.0196113257662265E-2</c:v>
                </c:pt>
                <c:pt idx="37">
                  <c:v>2.7278165829195157E-2</c:v>
                </c:pt>
                <c:pt idx="38">
                  <c:v>2.1194389514233039E-2</c:v>
                </c:pt>
                <c:pt idx="39">
                  <c:v>1.7073482327627072E-2</c:v>
                </c:pt>
                <c:pt idx="40">
                  <c:v>1.2955535780070106E-2</c:v>
                </c:pt>
                <c:pt idx="41">
                  <c:v>1.0586577159624834E-2</c:v>
                </c:pt>
                <c:pt idx="42">
                  <c:v>6.5762731426679015E-3</c:v>
                </c:pt>
                <c:pt idx="43">
                  <c:v>6.4151394894455607E-3</c:v>
                </c:pt>
                <c:pt idx="44">
                  <c:v>5.9867688817323954E-3</c:v>
                </c:pt>
                <c:pt idx="45">
                  <c:v>5.1532931206369585E-3</c:v>
                </c:pt>
                <c:pt idx="46">
                  <c:v>5.0438580430891252E-3</c:v>
                </c:pt>
                <c:pt idx="47">
                  <c:v>5.6185565592356572E-3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B8-4BBF-A38A-B09E99EAC694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1'!$C$5:$C$52</c:f>
              <c:numCache>
                <c:formatCode>###0.0%</c:formatCode>
                <c:ptCount val="48"/>
                <c:pt idx="0">
                  <c:v>1.4284287863763035E-3</c:v>
                </c:pt>
                <c:pt idx="1">
                  <c:v>2.035324545316177E-3</c:v>
                </c:pt>
                <c:pt idx="2">
                  <c:v>7.0309228925437258E-3</c:v>
                </c:pt>
                <c:pt idx="3">
                  <c:v>1.2114038816341925E-2</c:v>
                </c:pt>
                <c:pt idx="4">
                  <c:v>2.3075362087319945E-2</c:v>
                </c:pt>
                <c:pt idx="5">
                  <c:v>4.1945674595012437E-2</c:v>
                </c:pt>
                <c:pt idx="6">
                  <c:v>8.1724780996606738E-2</c:v>
                </c:pt>
                <c:pt idx="7">
                  <c:v>0.13316581946611383</c:v>
                </c:pt>
                <c:pt idx="8">
                  <c:v>0.17862918528078339</c:v>
                </c:pt>
                <c:pt idx="9">
                  <c:v>0.2147504036102762</c:v>
                </c:pt>
                <c:pt idx="10">
                  <c:v>0.23633702669621814</c:v>
                </c:pt>
                <c:pt idx="11">
                  <c:v>0.2540995065387564</c:v>
                </c:pt>
                <c:pt idx="12">
                  <c:v>0.29842800973076772</c:v>
                </c:pt>
                <c:pt idx="13">
                  <c:v>0.30040437873256848</c:v>
                </c:pt>
                <c:pt idx="14">
                  <c:v>0.29632841495648621</c:v>
                </c:pt>
                <c:pt idx="15">
                  <c:v>0.29781997579376668</c:v>
                </c:pt>
                <c:pt idx="16">
                  <c:v>0.27775285678826067</c:v>
                </c:pt>
                <c:pt idx="17">
                  <c:v>0.27041271796541205</c:v>
                </c:pt>
                <c:pt idx="18">
                  <c:v>0.2443111186657104</c:v>
                </c:pt>
                <c:pt idx="19">
                  <c:v>0.24523963916718869</c:v>
                </c:pt>
                <c:pt idx="20">
                  <c:v>0.21217348446107603</c:v>
                </c:pt>
                <c:pt idx="21">
                  <c:v>0.20793519295688739</c:v>
                </c:pt>
                <c:pt idx="22">
                  <c:v>0.18296450298251635</c:v>
                </c:pt>
                <c:pt idx="23">
                  <c:v>0.18576507373446929</c:v>
                </c:pt>
                <c:pt idx="24">
                  <c:v>0.20264302952220717</c:v>
                </c:pt>
                <c:pt idx="25">
                  <c:v>0.19571968948029642</c:v>
                </c:pt>
                <c:pt idx="26">
                  <c:v>0.20700720345663853</c:v>
                </c:pt>
                <c:pt idx="27">
                  <c:v>0.20099544265575056</c:v>
                </c:pt>
                <c:pt idx="28">
                  <c:v>0.22440524464077985</c:v>
                </c:pt>
                <c:pt idx="29">
                  <c:v>0.21318269869063586</c:v>
                </c:pt>
                <c:pt idx="30">
                  <c:v>0.1855136674876017</c:v>
                </c:pt>
                <c:pt idx="31">
                  <c:v>0.17144799656720444</c:v>
                </c:pt>
                <c:pt idx="32">
                  <c:v>0.13422887906449571</c:v>
                </c:pt>
                <c:pt idx="33">
                  <c:v>0.11537492703451482</c:v>
                </c:pt>
                <c:pt idx="34">
                  <c:v>8.6218802795757638E-2</c:v>
                </c:pt>
                <c:pt idx="35">
                  <c:v>6.337534234197878E-2</c:v>
                </c:pt>
                <c:pt idx="36">
                  <c:v>4.5111714624059135E-2</c:v>
                </c:pt>
                <c:pt idx="37">
                  <c:v>2.7241326066031548E-2</c:v>
                </c:pt>
                <c:pt idx="38">
                  <c:v>1.6058119117611614E-2</c:v>
                </c:pt>
                <c:pt idx="39">
                  <c:v>7.8356369276810205E-3</c:v>
                </c:pt>
                <c:pt idx="40">
                  <c:v>3.195132335866515E-3</c:v>
                </c:pt>
                <c:pt idx="41">
                  <c:v>2.2787203291760837E-3</c:v>
                </c:pt>
                <c:pt idx="42">
                  <c:v>1.5022065289833038E-3</c:v>
                </c:pt>
                <c:pt idx="43">
                  <c:v>1.1958192375864588E-3</c:v>
                </c:pt>
                <c:pt idx="44">
                  <c:v>1.2216260163781508E-3</c:v>
                </c:pt>
                <c:pt idx="45">
                  <c:v>6.3873314541488494E-4</c:v>
                </c:pt>
                <c:pt idx="46">
                  <c:v>3.8796709979294183E-4</c:v>
                </c:pt>
                <c:pt idx="47">
                  <c:v>6.0236321457637334E-4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B8-4BBF-A38A-B09E99EAC694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1'!$D$5:$D$52</c:f>
              <c:numCache>
                <c:formatCode>###0.0%</c:formatCode>
                <c:ptCount val="48"/>
                <c:pt idx="0">
                  <c:v>5.8568459470853887E-4</c:v>
                </c:pt>
                <c:pt idx="1">
                  <c:v>1.4834039232584828E-3</c:v>
                </c:pt>
                <c:pt idx="2">
                  <c:v>4.4269886938172725E-3</c:v>
                </c:pt>
                <c:pt idx="3">
                  <c:v>1.3406638369970265E-2</c:v>
                </c:pt>
                <c:pt idx="4">
                  <c:v>1.6135674098382666E-2</c:v>
                </c:pt>
                <c:pt idx="5">
                  <c:v>4.9503152269531059E-2</c:v>
                </c:pt>
                <c:pt idx="6">
                  <c:v>6.4410235384277634E-2</c:v>
                </c:pt>
                <c:pt idx="7">
                  <c:v>0.13436874692623824</c:v>
                </c:pt>
                <c:pt idx="8">
                  <c:v>0.1449769761730765</c:v>
                </c:pt>
                <c:pt idx="9">
                  <c:v>0.17598200295998029</c:v>
                </c:pt>
                <c:pt idx="10">
                  <c:v>0.19474060090316864</c:v>
                </c:pt>
                <c:pt idx="11">
                  <c:v>0.17529209045763972</c:v>
                </c:pt>
                <c:pt idx="12">
                  <c:v>0.18688827905061664</c:v>
                </c:pt>
                <c:pt idx="13">
                  <c:v>0.13072212587729437</c:v>
                </c:pt>
                <c:pt idx="14">
                  <c:v>9.7638035542553875E-2</c:v>
                </c:pt>
                <c:pt idx="15">
                  <c:v>6.9672359019023827E-2</c:v>
                </c:pt>
                <c:pt idx="16">
                  <c:v>8.7997815618542627E-2</c:v>
                </c:pt>
                <c:pt idx="17">
                  <c:v>7.0348994820295427E-2</c:v>
                </c:pt>
                <c:pt idx="18">
                  <c:v>0.13125047498492881</c:v>
                </c:pt>
                <c:pt idx="19">
                  <c:v>0.10425930265500971</c:v>
                </c:pt>
                <c:pt idx="20">
                  <c:v>0.15993359141137414</c:v>
                </c:pt>
                <c:pt idx="21">
                  <c:v>0.16402935381641984</c:v>
                </c:pt>
                <c:pt idx="22">
                  <c:v>0.1824503978563804</c:v>
                </c:pt>
                <c:pt idx="23">
                  <c:v>0.18221462145524947</c:v>
                </c:pt>
                <c:pt idx="24">
                  <c:v>0.14380427133741161</c:v>
                </c:pt>
                <c:pt idx="25">
                  <c:v>0.14905643645098918</c:v>
                </c:pt>
                <c:pt idx="26">
                  <c:v>0.14299049811858028</c:v>
                </c:pt>
                <c:pt idx="27">
                  <c:v>0.12754916443353262</c:v>
                </c:pt>
                <c:pt idx="28">
                  <c:v>0.1230606038139285</c:v>
                </c:pt>
                <c:pt idx="29">
                  <c:v>0.11872099793040118</c:v>
                </c:pt>
                <c:pt idx="30">
                  <c:v>0.15431340960230733</c:v>
                </c:pt>
                <c:pt idx="31">
                  <c:v>0.15343081751731599</c:v>
                </c:pt>
                <c:pt idx="32">
                  <c:v>0.17764487231143467</c:v>
                </c:pt>
                <c:pt idx="33">
                  <c:v>0.11448290665836787</c:v>
                </c:pt>
                <c:pt idx="34">
                  <c:v>6.8905877605875951E-2</c:v>
                </c:pt>
                <c:pt idx="35">
                  <c:v>3.7669496958350569E-2</c:v>
                </c:pt>
                <c:pt idx="36">
                  <c:v>2.1559371910820843E-2</c:v>
                </c:pt>
                <c:pt idx="37">
                  <c:v>1.697994536181548E-2</c:v>
                </c:pt>
                <c:pt idx="38">
                  <c:v>1.0160604688339703E-2</c:v>
                </c:pt>
                <c:pt idx="39">
                  <c:v>4.7601514630783836E-3</c:v>
                </c:pt>
                <c:pt idx="40">
                  <c:v>9.7186666340454999E-4</c:v>
                </c:pt>
                <c:pt idx="41">
                  <c:v>7.5731444319303385E-4</c:v>
                </c:pt>
                <c:pt idx="42">
                  <c:v>6.34919205635438E-4</c:v>
                </c:pt>
                <c:pt idx="43">
                  <c:v>2.0481512984366231E-4</c:v>
                </c:pt>
                <c:pt idx="44">
                  <c:v>2.714880083485783E-4</c:v>
                </c:pt>
                <c:pt idx="45">
                  <c:v>5.7882145629054515E-4</c:v>
                </c:pt>
                <c:pt idx="46">
                  <c:v>2.8349706072023473E-4</c:v>
                </c:pt>
                <c:pt idx="47">
                  <c:v>8.5294201030117005E-5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B8-4BBF-A38A-B09E99EAC694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1'!$E$5:$E$52</c:f>
              <c:numCache>
                <c:formatCode>###0.0%</c:formatCode>
                <c:ptCount val="48"/>
                <c:pt idx="0">
                  <c:v>0.98632613816312387</c:v>
                </c:pt>
                <c:pt idx="1">
                  <c:v>0.98359091417887068</c:v>
                </c:pt>
                <c:pt idx="2">
                  <c:v>0.96546258267273943</c:v>
                </c:pt>
                <c:pt idx="3">
                  <c:v>0.92525818045737263</c:v>
                </c:pt>
                <c:pt idx="4">
                  <c:v>0.87477928032055374</c:v>
                </c:pt>
                <c:pt idx="5">
                  <c:v>0.76803367518210441</c:v>
                </c:pt>
                <c:pt idx="6">
                  <c:v>0.64069325173472214</c:v>
                </c:pt>
                <c:pt idx="7">
                  <c:v>0.45773368788260704</c:v>
                </c:pt>
                <c:pt idx="8">
                  <c:v>0.33876472166545313</c:v>
                </c:pt>
                <c:pt idx="9">
                  <c:v>0.22903247745109623</c:v>
                </c:pt>
                <c:pt idx="10">
                  <c:v>0.17873270242052988</c:v>
                </c:pt>
                <c:pt idx="11">
                  <c:v>0.12398790797457168</c:v>
                </c:pt>
                <c:pt idx="12">
                  <c:v>9.221263922074209E-2</c:v>
                </c:pt>
                <c:pt idx="13">
                  <c:v>5.4886419724121754E-2</c:v>
                </c:pt>
                <c:pt idx="14">
                  <c:v>4.5137413208267557E-2</c:v>
                </c:pt>
                <c:pt idx="15">
                  <c:v>3.4007396047681354E-2</c:v>
                </c:pt>
                <c:pt idx="16">
                  <c:v>3.0871683594405827E-2</c:v>
                </c:pt>
                <c:pt idx="17">
                  <c:v>2.8778420138635203E-2</c:v>
                </c:pt>
                <c:pt idx="18">
                  <c:v>4.0348646146291897E-2</c:v>
                </c:pt>
                <c:pt idx="19">
                  <c:v>3.4356504798493351E-2</c:v>
                </c:pt>
                <c:pt idx="20">
                  <c:v>3.7931242354046144E-2</c:v>
                </c:pt>
                <c:pt idx="21">
                  <c:v>4.054834597535692E-2</c:v>
                </c:pt>
                <c:pt idx="22">
                  <c:v>4.7605475081517315E-2</c:v>
                </c:pt>
                <c:pt idx="23">
                  <c:v>5.3702693894954259E-2</c:v>
                </c:pt>
                <c:pt idx="24">
                  <c:v>6.3235549095208565E-2</c:v>
                </c:pt>
                <c:pt idx="25">
                  <c:v>6.5965427341177024E-2</c:v>
                </c:pt>
                <c:pt idx="26">
                  <c:v>5.9838710599783511E-2</c:v>
                </c:pt>
                <c:pt idx="27">
                  <c:v>5.453413338566078E-2</c:v>
                </c:pt>
                <c:pt idx="28">
                  <c:v>4.4235976640734351E-2</c:v>
                </c:pt>
                <c:pt idx="29">
                  <c:v>4.5538191262342445E-2</c:v>
                </c:pt>
                <c:pt idx="30">
                  <c:v>4.9587795118643016E-2</c:v>
                </c:pt>
                <c:pt idx="31">
                  <c:v>4.763340369675155E-2</c:v>
                </c:pt>
                <c:pt idx="32">
                  <c:v>5.1550104085218713E-2</c:v>
                </c:pt>
                <c:pt idx="33">
                  <c:v>5.5171504913785821E-2</c:v>
                </c:pt>
                <c:pt idx="34">
                  <c:v>0.12024578414194224</c:v>
                </c:pt>
                <c:pt idx="35">
                  <c:v>0.15190417188217234</c:v>
                </c:pt>
                <c:pt idx="36">
                  <c:v>0.40037159437482572</c:v>
                </c:pt>
                <c:pt idx="37">
                  <c:v>0.49314265715262912</c:v>
                </c:pt>
                <c:pt idx="38">
                  <c:v>0.6979502234954752</c:v>
                </c:pt>
                <c:pt idx="39">
                  <c:v>0.79257610659772781</c:v>
                </c:pt>
                <c:pt idx="40">
                  <c:v>0.90196909949908954</c:v>
                </c:pt>
                <c:pt idx="41">
                  <c:v>0.93681379288007094</c:v>
                </c:pt>
                <c:pt idx="42">
                  <c:v>0.97335630086026759</c:v>
                </c:pt>
                <c:pt idx="43">
                  <c:v>0.97810989991358066</c:v>
                </c:pt>
                <c:pt idx="44">
                  <c:v>0.98646071346522357</c:v>
                </c:pt>
                <c:pt idx="45">
                  <c:v>0.98864518056695616</c:v>
                </c:pt>
                <c:pt idx="46">
                  <c:v>0.99133421100680952</c:v>
                </c:pt>
                <c:pt idx="47">
                  <c:v>0.99127293570526387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B8-4BBF-A38A-B09E99EAC694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1'!$F$5:$F$52</c:f>
              <c:numCache>
                <c:formatCode>###0.0%</c:formatCode>
                <c:ptCount val="48"/>
                <c:pt idx="0">
                  <c:v>1.7510696228964051E-3</c:v>
                </c:pt>
                <c:pt idx="1">
                  <c:v>1.1681942626455752E-3</c:v>
                </c:pt>
                <c:pt idx="2">
                  <c:v>2.6435828493838187E-3</c:v>
                </c:pt>
                <c:pt idx="3">
                  <c:v>5.4706624013024204E-3</c:v>
                </c:pt>
                <c:pt idx="4">
                  <c:v>6.008777109890345E-3</c:v>
                </c:pt>
                <c:pt idx="5">
                  <c:v>7.5168994234913059E-3</c:v>
                </c:pt>
                <c:pt idx="6">
                  <c:v>1.2000344186872172E-2</c:v>
                </c:pt>
                <c:pt idx="7">
                  <c:v>2.3248750631369774E-2</c:v>
                </c:pt>
                <c:pt idx="8">
                  <c:v>3.2753110464032578E-2</c:v>
                </c:pt>
                <c:pt idx="9">
                  <c:v>4.9012486208586135E-2</c:v>
                </c:pt>
                <c:pt idx="10">
                  <c:v>6.0929012587952538E-2</c:v>
                </c:pt>
                <c:pt idx="11">
                  <c:v>8.9541461575981252E-2</c:v>
                </c:pt>
                <c:pt idx="12">
                  <c:v>0.11750973585319265</c:v>
                </c:pt>
                <c:pt idx="13">
                  <c:v>0.14567607751380857</c:v>
                </c:pt>
                <c:pt idx="14">
                  <c:v>0.17725670561572593</c:v>
                </c:pt>
                <c:pt idx="15">
                  <c:v>0.18920756542413886</c:v>
                </c:pt>
                <c:pt idx="16">
                  <c:v>0.19684436137020014</c:v>
                </c:pt>
                <c:pt idx="17">
                  <c:v>0.20324331699563727</c:v>
                </c:pt>
                <c:pt idx="18">
                  <c:v>0.20400840246735005</c:v>
                </c:pt>
                <c:pt idx="19">
                  <c:v>0.21847305035753239</c:v>
                </c:pt>
                <c:pt idx="20">
                  <c:v>0.21208035113935131</c:v>
                </c:pt>
                <c:pt idx="21">
                  <c:v>0.22052023244494146</c:v>
                </c:pt>
                <c:pt idx="22">
                  <c:v>0.24099110799097828</c:v>
                </c:pt>
                <c:pt idx="23">
                  <c:v>0.27648060372261363</c:v>
                </c:pt>
                <c:pt idx="24">
                  <c:v>0.29849709827074572</c:v>
                </c:pt>
                <c:pt idx="25">
                  <c:v>0.31620457260173401</c:v>
                </c:pt>
                <c:pt idx="26">
                  <c:v>0.33420205488134624</c:v>
                </c:pt>
                <c:pt idx="27">
                  <c:v>0.35483752003037305</c:v>
                </c:pt>
                <c:pt idx="28">
                  <c:v>0.35000330717778022</c:v>
                </c:pt>
                <c:pt idx="29">
                  <c:v>0.34778034630252014</c:v>
                </c:pt>
                <c:pt idx="30">
                  <c:v>0.25915021759412843</c:v>
                </c:pt>
                <c:pt idx="31">
                  <c:v>0.24750303987210531</c:v>
                </c:pt>
                <c:pt idx="32">
                  <c:v>0.2192445429404557</c:v>
                </c:pt>
                <c:pt idx="33">
                  <c:v>0.22009376868421857</c:v>
                </c:pt>
                <c:pt idx="34">
                  <c:v>0.19450816234477528</c:v>
                </c:pt>
                <c:pt idx="35">
                  <c:v>0.1854226812735254</c:v>
                </c:pt>
                <c:pt idx="36">
                  <c:v>0.15334347711144161</c:v>
                </c:pt>
                <c:pt idx="37">
                  <c:v>0.14158860817080129</c:v>
                </c:pt>
                <c:pt idx="38">
                  <c:v>0.10016967681879665</c:v>
                </c:pt>
                <c:pt idx="39">
                  <c:v>7.4885900820401613E-2</c:v>
                </c:pt>
                <c:pt idx="40">
                  <c:v>4.1290911482241795E-2</c:v>
                </c:pt>
                <c:pt idx="41">
                  <c:v>2.3038397079221881E-2</c:v>
                </c:pt>
                <c:pt idx="42">
                  <c:v>9.8524349591699659E-3</c:v>
                </c:pt>
                <c:pt idx="43">
                  <c:v>7.4279324455785575E-3</c:v>
                </c:pt>
                <c:pt idx="44">
                  <c:v>4.1447552943187299E-3</c:v>
                </c:pt>
                <c:pt idx="45">
                  <c:v>3.4489461752922352E-3</c:v>
                </c:pt>
                <c:pt idx="46">
                  <c:v>1.9124445100143128E-3</c:v>
                </c:pt>
                <c:pt idx="47">
                  <c:v>1.8578241561086402E-3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B8-4BBF-A38A-B09E99EAC694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1'!$G$5:$G$52</c:f>
              <c:numCache>
                <c:formatCode>###0.0%</c:formatCode>
                <c:ptCount val="48"/>
                <c:pt idx="0">
                  <c:v>6.4946625039446885E-4</c:v>
                </c:pt>
                <c:pt idx="1">
                  <c:v>2.7795386269480763E-4</c:v>
                </c:pt>
                <c:pt idx="2">
                  <c:v>3.0156773237043208E-4</c:v>
                </c:pt>
                <c:pt idx="3">
                  <c:v>9.6796941183410474E-4</c:v>
                </c:pt>
                <c:pt idx="4">
                  <c:v>3.3257677903312573E-3</c:v>
                </c:pt>
                <c:pt idx="5">
                  <c:v>4.5616298880368621E-3</c:v>
                </c:pt>
                <c:pt idx="6">
                  <c:v>1.1370709466429813E-2</c:v>
                </c:pt>
                <c:pt idx="7">
                  <c:v>1.5364166122177125E-2</c:v>
                </c:pt>
                <c:pt idx="8">
                  <c:v>2.0892808489542985E-2</c:v>
                </c:pt>
                <c:pt idx="9">
                  <c:v>2.774901273750564E-2</c:v>
                </c:pt>
                <c:pt idx="10">
                  <c:v>3.3120361832012342E-2</c:v>
                </c:pt>
                <c:pt idx="11">
                  <c:v>4.0669028883614004E-2</c:v>
                </c:pt>
                <c:pt idx="12">
                  <c:v>3.7056293528869085E-2</c:v>
                </c:pt>
                <c:pt idx="13">
                  <c:v>4.4715111497133454E-2</c:v>
                </c:pt>
                <c:pt idx="14">
                  <c:v>5.0150857775286412E-2</c:v>
                </c:pt>
                <c:pt idx="15">
                  <c:v>5.3789640350667092E-2</c:v>
                </c:pt>
                <c:pt idx="16">
                  <c:v>5.6094048713248565E-2</c:v>
                </c:pt>
                <c:pt idx="17">
                  <c:v>6.0217151011647839E-2</c:v>
                </c:pt>
                <c:pt idx="18">
                  <c:v>4.5262976256174009E-2</c:v>
                </c:pt>
                <c:pt idx="19">
                  <c:v>5.0420269464036833E-2</c:v>
                </c:pt>
                <c:pt idx="20">
                  <c:v>4.5897140772242363E-2</c:v>
                </c:pt>
                <c:pt idx="21">
                  <c:v>5.1058001738187551E-2</c:v>
                </c:pt>
                <c:pt idx="22">
                  <c:v>5.8997540693448404E-2</c:v>
                </c:pt>
                <c:pt idx="23">
                  <c:v>6.9296794635553979E-2</c:v>
                </c:pt>
                <c:pt idx="24">
                  <c:v>8.8618466176374394E-2</c:v>
                </c:pt>
                <c:pt idx="25">
                  <c:v>9.9205288002630065E-2</c:v>
                </c:pt>
                <c:pt idx="26">
                  <c:v>0.1020783129479062</c:v>
                </c:pt>
                <c:pt idx="27">
                  <c:v>0.12202667236538071</c:v>
                </c:pt>
                <c:pt idx="28">
                  <c:v>0.14279527158215427</c:v>
                </c:pt>
                <c:pt idx="29">
                  <c:v>0.16466273575893681</c:v>
                </c:pt>
                <c:pt idx="30">
                  <c:v>0.26842690285227894</c:v>
                </c:pt>
                <c:pt idx="31">
                  <c:v>0.30675426399663475</c:v>
                </c:pt>
                <c:pt idx="32">
                  <c:v>0.35571472418160083</c:v>
                </c:pt>
                <c:pt idx="33">
                  <c:v>0.43652175584277642</c:v>
                </c:pt>
                <c:pt idx="34">
                  <c:v>0.478121635440032</c:v>
                </c:pt>
                <c:pt idx="35">
                  <c:v>0.51151899132687206</c:v>
                </c:pt>
                <c:pt idx="36">
                  <c:v>0.3331944027246761</c:v>
                </c:pt>
                <c:pt idx="37">
                  <c:v>0.29039085153809696</c:v>
                </c:pt>
                <c:pt idx="38">
                  <c:v>0.1521792119983735</c:v>
                </c:pt>
                <c:pt idx="39">
                  <c:v>0.10014945545553712</c:v>
                </c:pt>
                <c:pt idx="40">
                  <c:v>3.8376317902626224E-2</c:v>
                </c:pt>
                <c:pt idx="41">
                  <c:v>2.5265495458155082E-2</c:v>
                </c:pt>
                <c:pt idx="42">
                  <c:v>7.775153348839812E-3</c:v>
                </c:pt>
                <c:pt idx="43">
                  <c:v>6.4559395574231718E-3</c:v>
                </c:pt>
                <c:pt idx="44">
                  <c:v>1.9146483339989376E-3</c:v>
                </c:pt>
                <c:pt idx="45">
                  <c:v>1.227532533646694E-3</c:v>
                </c:pt>
                <c:pt idx="46">
                  <c:v>1.0380222795747011E-3</c:v>
                </c:pt>
                <c:pt idx="47">
                  <c:v>5.6302616378651885E-4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B8-4BBF-A38A-B09E99EAC694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1'!$A$5:$A$52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1'!$H$5:$H$52</c:f>
              <c:numCache>
                <c:formatCode>###0.0%</c:formatCode>
                <c:ptCount val="48"/>
                <c:pt idx="0">
                  <c:v>2.6626456697415187E-4</c:v>
                </c:pt>
                <c:pt idx="1">
                  <c:v>2.6626456697415187E-4</c:v>
                </c:pt>
                <c:pt idx="2">
                  <c:v>0</c:v>
                </c:pt>
                <c:pt idx="3">
                  <c:v>2.3588065923450626E-4</c:v>
                </c:pt>
                <c:pt idx="4">
                  <c:v>1.1951336654764328E-3</c:v>
                </c:pt>
                <c:pt idx="5">
                  <c:v>1.0404512556398853E-3</c:v>
                </c:pt>
                <c:pt idx="6">
                  <c:v>2.0176418865897987E-3</c:v>
                </c:pt>
                <c:pt idx="7">
                  <c:v>2.1212364376419959E-3</c:v>
                </c:pt>
                <c:pt idx="8">
                  <c:v>4.5481419166831872E-3</c:v>
                </c:pt>
                <c:pt idx="9">
                  <c:v>3.3685136420821839E-3</c:v>
                </c:pt>
                <c:pt idx="10">
                  <c:v>5.2754064040202667E-3</c:v>
                </c:pt>
                <c:pt idx="11">
                  <c:v>4.4168649687554417E-3</c:v>
                </c:pt>
                <c:pt idx="12">
                  <c:v>7.2477128181518413E-3</c:v>
                </c:pt>
                <c:pt idx="13">
                  <c:v>5.5800542945713301E-3</c:v>
                </c:pt>
                <c:pt idx="14">
                  <c:v>7.1126079334631357E-3</c:v>
                </c:pt>
                <c:pt idx="15">
                  <c:v>5.2894229465629446E-3</c:v>
                </c:pt>
                <c:pt idx="16">
                  <c:v>4.4456442669884811E-3</c:v>
                </c:pt>
                <c:pt idx="17">
                  <c:v>3.6069143858684068E-3</c:v>
                </c:pt>
                <c:pt idx="18">
                  <c:v>2.9492441266169432E-3</c:v>
                </c:pt>
                <c:pt idx="19">
                  <c:v>2.9865857721006251E-3</c:v>
                </c:pt>
                <c:pt idx="20">
                  <c:v>3.6379835550762272E-3</c:v>
                </c:pt>
                <c:pt idx="21">
                  <c:v>3.5286637580920462E-3</c:v>
                </c:pt>
                <c:pt idx="22">
                  <c:v>1.8192301720643558E-3</c:v>
                </c:pt>
                <c:pt idx="23">
                  <c:v>2.6088328305641229E-3</c:v>
                </c:pt>
                <c:pt idx="24">
                  <c:v>3.0756098808726495E-3</c:v>
                </c:pt>
                <c:pt idx="25">
                  <c:v>3.2191653802608731E-3</c:v>
                </c:pt>
                <c:pt idx="26">
                  <c:v>3.6176484903885061E-3</c:v>
                </c:pt>
                <c:pt idx="27">
                  <c:v>3.362023757223183E-3</c:v>
                </c:pt>
                <c:pt idx="28">
                  <c:v>4.034693218854103E-3</c:v>
                </c:pt>
                <c:pt idx="29">
                  <c:v>4.0349974363812421E-3</c:v>
                </c:pt>
                <c:pt idx="30">
                  <c:v>3.976387706435932E-3</c:v>
                </c:pt>
                <c:pt idx="31">
                  <c:v>3.608768193550898E-3</c:v>
                </c:pt>
                <c:pt idx="32">
                  <c:v>4.1582780974777217E-3</c:v>
                </c:pt>
                <c:pt idx="33">
                  <c:v>5.4650391821855189E-3</c:v>
                </c:pt>
                <c:pt idx="34">
                  <c:v>6.0220333249323028E-3</c:v>
                </c:pt>
                <c:pt idx="35">
                  <c:v>4.215011345835685E-3</c:v>
                </c:pt>
                <c:pt idx="36">
                  <c:v>6.223325996518498E-3</c:v>
                </c:pt>
                <c:pt idx="37">
                  <c:v>3.3784458814308787E-3</c:v>
                </c:pt>
                <c:pt idx="38">
                  <c:v>2.2877743671693568E-3</c:v>
                </c:pt>
                <c:pt idx="39">
                  <c:v>2.7192664079492461E-3</c:v>
                </c:pt>
                <c:pt idx="40">
                  <c:v>1.2411363367047408E-3</c:v>
                </c:pt>
                <c:pt idx="41">
                  <c:v>1.2597026505601935E-3</c:v>
                </c:pt>
                <c:pt idx="42">
                  <c:v>3.0271195443740156E-4</c:v>
                </c:pt>
                <c:pt idx="43">
                  <c:v>1.9045422654312538E-4</c:v>
                </c:pt>
                <c:pt idx="44">
                  <c:v>0</c:v>
                </c:pt>
                <c:pt idx="45">
                  <c:v>3.0749300176326411E-4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B8-4BBF-A38A-B09E99EAC6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5458832"/>
        <c:axId val="1010111488"/>
      </c:areaChart>
      <c:catAx>
        <c:axId val="1055458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111488"/>
        <c:crosses val="autoZero"/>
        <c:auto val="1"/>
        <c:lblAlgn val="ctr"/>
        <c:lblOffset val="100"/>
        <c:noMultiLvlLbl val="0"/>
      </c:catAx>
      <c:valAx>
        <c:axId val="10101114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5545883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0"/>
          <c:tx>
            <c:strRef>
              <c:f>'Темпогр 1'!$B$3:$B$4</c:f>
              <c:strCache>
                <c:ptCount val="2"/>
                <c:pt idx="1">
                  <c:v>Плаћени посао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1'!$B$57:$B$104</c:f>
              <c:numCache>
                <c:formatCode>###0.0%</c:formatCode>
                <c:ptCount val="48"/>
                <c:pt idx="0">
                  <c:v>1.4957656831851841E-2</c:v>
                </c:pt>
                <c:pt idx="1">
                  <c:v>1.8255603499495152E-2</c:v>
                </c:pt>
                <c:pt idx="2">
                  <c:v>2.757796939346864E-2</c:v>
                </c:pt>
                <c:pt idx="3">
                  <c:v>5.6270147015327801E-2</c:v>
                </c:pt>
                <c:pt idx="4">
                  <c:v>9.4680787733798122E-2</c:v>
                </c:pt>
                <c:pt idx="5">
                  <c:v>0.15865091647578722</c:v>
                </c:pt>
                <c:pt idx="6">
                  <c:v>0.2322856868294314</c:v>
                </c:pt>
                <c:pt idx="7">
                  <c:v>0.29349745679697659</c:v>
                </c:pt>
                <c:pt idx="8">
                  <c:v>0.34364254932473398</c:v>
                </c:pt>
                <c:pt idx="9">
                  <c:v>0.3739115127304079</c:v>
                </c:pt>
                <c:pt idx="10">
                  <c:v>0.35706908104817087</c:v>
                </c:pt>
                <c:pt idx="11">
                  <c:v>0.38400633658289141</c:v>
                </c:pt>
                <c:pt idx="12">
                  <c:v>0.32436928746665067</c:v>
                </c:pt>
                <c:pt idx="13">
                  <c:v>0.39705693454551017</c:v>
                </c:pt>
                <c:pt idx="14">
                  <c:v>0.40231997046753798</c:v>
                </c:pt>
                <c:pt idx="15">
                  <c:v>0.42681103614703519</c:v>
                </c:pt>
                <c:pt idx="16">
                  <c:v>0.41782032043451744</c:v>
                </c:pt>
                <c:pt idx="17">
                  <c:v>0.43138502268879608</c:v>
                </c:pt>
                <c:pt idx="18">
                  <c:v>0.39650944061560728</c:v>
                </c:pt>
                <c:pt idx="19">
                  <c:v>0.41348408404597281</c:v>
                </c:pt>
                <c:pt idx="20">
                  <c:v>0.39258721641763367</c:v>
                </c:pt>
                <c:pt idx="21">
                  <c:v>0.37851512127384013</c:v>
                </c:pt>
                <c:pt idx="22">
                  <c:v>0.34701326451231584</c:v>
                </c:pt>
                <c:pt idx="23">
                  <c:v>0.28007494223542861</c:v>
                </c:pt>
                <c:pt idx="24">
                  <c:v>0.24949204503229688</c:v>
                </c:pt>
                <c:pt idx="25">
                  <c:v>0.21457660618214006</c:v>
                </c:pt>
                <c:pt idx="26">
                  <c:v>0.1863803021692427</c:v>
                </c:pt>
                <c:pt idx="27">
                  <c:v>0.16878503333955275</c:v>
                </c:pt>
                <c:pt idx="28">
                  <c:v>0.13961600293213516</c:v>
                </c:pt>
                <c:pt idx="29">
                  <c:v>0.13001270063759385</c:v>
                </c:pt>
                <c:pt idx="30">
                  <c:v>9.2093674723540742E-2</c:v>
                </c:pt>
                <c:pt idx="31">
                  <c:v>8.2324917078972618E-2</c:v>
                </c:pt>
                <c:pt idx="32">
                  <c:v>6.2610725331460018E-2</c:v>
                </c:pt>
                <c:pt idx="33">
                  <c:v>5.7491517342443649E-2</c:v>
                </c:pt>
                <c:pt idx="34">
                  <c:v>5.2024733131894013E-2</c:v>
                </c:pt>
                <c:pt idx="35">
                  <c:v>4.8436813034827539E-2</c:v>
                </c:pt>
                <c:pt idx="36">
                  <c:v>4.4023012480979451E-2</c:v>
                </c:pt>
                <c:pt idx="37">
                  <c:v>3.036702928062435E-2</c:v>
                </c:pt>
                <c:pt idx="38">
                  <c:v>2.1154566515673885E-2</c:v>
                </c:pt>
                <c:pt idx="39">
                  <c:v>1.8722922042730294E-2</c:v>
                </c:pt>
                <c:pt idx="40">
                  <c:v>1.778826223826873E-2</c:v>
                </c:pt>
                <c:pt idx="41">
                  <c:v>1.5362216646882405E-2</c:v>
                </c:pt>
                <c:pt idx="42">
                  <c:v>1.1140028610653871E-2</c:v>
                </c:pt>
                <c:pt idx="43">
                  <c:v>1.0805861766676994E-2</c:v>
                </c:pt>
                <c:pt idx="44">
                  <c:v>1.0573056205006502E-2</c:v>
                </c:pt>
                <c:pt idx="45">
                  <c:v>9.4822474561366936E-3</c:v>
                </c:pt>
                <c:pt idx="46">
                  <c:v>9.255295644685713E-3</c:v>
                </c:pt>
                <c:pt idx="47">
                  <c:v>1.0447133510571421E-2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32-41B1-A2D6-8E1DC38C9C1C}"/>
            </c:ext>
          </c:extLst>
        </c:ser>
        <c:ser>
          <c:idx val="1"/>
          <c:order val="1"/>
          <c:tx>
            <c:strRef>
              <c:f>'Темпогр 1'!$C$3:$C$4</c:f>
              <c:strCache>
                <c:ptCount val="2"/>
                <c:pt idx="1">
                  <c:v>Неплаћени посао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1'!$C$57:$C$104</c:f>
              <c:numCache>
                <c:formatCode>###0.0%</c:formatCode>
                <c:ptCount val="48"/>
                <c:pt idx="0">
                  <c:v>3.9251648600245083E-4</c:v>
                </c:pt>
                <c:pt idx="1">
                  <c:v>1.6657614004459051E-3</c:v>
                </c:pt>
                <c:pt idx="2">
                  <c:v>5.8698809933804864E-3</c:v>
                </c:pt>
                <c:pt idx="3">
                  <c:v>1.1202323083605E-2</c:v>
                </c:pt>
                <c:pt idx="4">
                  <c:v>1.8057703988458535E-2</c:v>
                </c:pt>
                <c:pt idx="5">
                  <c:v>3.7105441766027786E-2</c:v>
                </c:pt>
                <c:pt idx="6">
                  <c:v>5.7299048345120493E-2</c:v>
                </c:pt>
                <c:pt idx="7">
                  <c:v>8.8357832105970105E-2</c:v>
                </c:pt>
                <c:pt idx="8">
                  <c:v>0.13002363429252417</c:v>
                </c:pt>
                <c:pt idx="9">
                  <c:v>0.1567797643071315</c:v>
                </c:pt>
                <c:pt idx="10">
                  <c:v>0.17475194210393538</c:v>
                </c:pt>
                <c:pt idx="11">
                  <c:v>0.17622153273462463</c:v>
                </c:pt>
                <c:pt idx="12">
                  <c:v>0.2071478841091004</c:v>
                </c:pt>
                <c:pt idx="13">
                  <c:v>0.20444205775106084</c:v>
                </c:pt>
                <c:pt idx="14">
                  <c:v>0.19605202183097351</c:v>
                </c:pt>
                <c:pt idx="15">
                  <c:v>0.18806667280272241</c:v>
                </c:pt>
                <c:pt idx="16">
                  <c:v>0.16964205825904938</c:v>
                </c:pt>
                <c:pt idx="17">
                  <c:v>0.16361912379243237</c:v>
                </c:pt>
                <c:pt idx="18">
                  <c:v>0.13999091474264336</c:v>
                </c:pt>
                <c:pt idx="19">
                  <c:v>0.14248706503620889</c:v>
                </c:pt>
                <c:pt idx="20">
                  <c:v>0.11777117722758421</c:v>
                </c:pt>
                <c:pt idx="21">
                  <c:v>0.12021742483105849</c:v>
                </c:pt>
                <c:pt idx="22">
                  <c:v>0.11463834924499604</c:v>
                </c:pt>
                <c:pt idx="23">
                  <c:v>0.12436156309329256</c:v>
                </c:pt>
                <c:pt idx="24">
                  <c:v>0.14576736943584387</c:v>
                </c:pt>
                <c:pt idx="25">
                  <c:v>0.14695087275200278</c:v>
                </c:pt>
                <c:pt idx="26">
                  <c:v>0.14513578602716984</c:v>
                </c:pt>
                <c:pt idx="27">
                  <c:v>0.14749666117687196</c:v>
                </c:pt>
                <c:pt idx="28">
                  <c:v>0.17377655355528121</c:v>
                </c:pt>
                <c:pt idx="29">
                  <c:v>0.15952028721958758</c:v>
                </c:pt>
                <c:pt idx="30">
                  <c:v>0.12881361493193572</c:v>
                </c:pt>
                <c:pt idx="31">
                  <c:v>0.10572534760864277</c:v>
                </c:pt>
                <c:pt idx="32">
                  <c:v>7.0236678863664748E-2</c:v>
                </c:pt>
                <c:pt idx="33">
                  <c:v>5.8101356675445845E-2</c:v>
                </c:pt>
                <c:pt idx="34">
                  <c:v>4.1198452260888078E-2</c:v>
                </c:pt>
                <c:pt idx="35">
                  <c:v>2.7902548411260223E-2</c:v>
                </c:pt>
                <c:pt idx="36">
                  <c:v>2.1398363398463197E-2</c:v>
                </c:pt>
                <c:pt idx="37">
                  <c:v>1.3993090980369816E-2</c:v>
                </c:pt>
                <c:pt idx="38">
                  <c:v>7.8765204996335374E-3</c:v>
                </c:pt>
                <c:pt idx="39">
                  <c:v>2.7093583071039974E-3</c:v>
                </c:pt>
                <c:pt idx="40">
                  <c:v>1.5580638144618581E-3</c:v>
                </c:pt>
                <c:pt idx="41">
                  <c:v>3.8431343489353905E-4</c:v>
                </c:pt>
                <c:pt idx="42">
                  <c:v>9.5471781804638519E-4</c:v>
                </c:pt>
                <c:pt idx="43">
                  <c:v>0</c:v>
                </c:pt>
                <c:pt idx="44">
                  <c:v>4.1104277576607391E-4</c:v>
                </c:pt>
                <c:pt idx="45">
                  <c:v>4.1104277576607391E-4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32-41B1-A2D6-8E1DC38C9C1C}"/>
            </c:ext>
          </c:extLst>
        </c:ser>
        <c:ser>
          <c:idx val="2"/>
          <c:order val="2"/>
          <c:tx>
            <c:strRef>
              <c:f>'Темпогр 1'!$D$3:$D$4</c:f>
              <c:strCache>
                <c:ptCount val="2"/>
                <c:pt idx="1">
                  <c:v>Оброци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1'!$D$57:$D$104</c:f>
              <c:numCache>
                <c:formatCode>###0.0%</c:formatCode>
                <c:ptCount val="48"/>
                <c:pt idx="0">
                  <c:v>6.9609628865921242E-4</c:v>
                </c:pt>
                <c:pt idx="1">
                  <c:v>1.985011546012641E-3</c:v>
                </c:pt>
                <c:pt idx="2">
                  <c:v>4.214032524403678E-3</c:v>
                </c:pt>
                <c:pt idx="3">
                  <c:v>1.5784617477973509E-2</c:v>
                </c:pt>
                <c:pt idx="4">
                  <c:v>1.9092339662367241E-2</c:v>
                </c:pt>
                <c:pt idx="5">
                  <c:v>5.1423345920340438E-2</c:v>
                </c:pt>
                <c:pt idx="6">
                  <c:v>6.7802050096622615E-2</c:v>
                </c:pt>
                <c:pt idx="7">
                  <c:v>0.1303574959828479</c:v>
                </c:pt>
                <c:pt idx="8">
                  <c:v>0.14087086897705298</c:v>
                </c:pt>
                <c:pt idx="9">
                  <c:v>0.16016546854185423</c:v>
                </c:pt>
                <c:pt idx="10">
                  <c:v>0.1759378022730558</c:v>
                </c:pt>
                <c:pt idx="11">
                  <c:v>0.16465905120050436</c:v>
                </c:pt>
                <c:pt idx="12">
                  <c:v>0.19045187659029378</c:v>
                </c:pt>
                <c:pt idx="13">
                  <c:v>0.12163939210688496</c:v>
                </c:pt>
                <c:pt idx="14">
                  <c:v>9.5626956322508866E-2</c:v>
                </c:pt>
                <c:pt idx="15">
                  <c:v>7.2043892169114263E-2</c:v>
                </c:pt>
                <c:pt idx="16">
                  <c:v>8.759891599126797E-2</c:v>
                </c:pt>
                <c:pt idx="17">
                  <c:v>6.8091151191797261E-2</c:v>
                </c:pt>
                <c:pt idx="18">
                  <c:v>0.14157093568020424</c:v>
                </c:pt>
                <c:pt idx="19">
                  <c:v>0.10657725919636649</c:v>
                </c:pt>
                <c:pt idx="20">
                  <c:v>0.15682234037716988</c:v>
                </c:pt>
                <c:pt idx="21">
                  <c:v>0.15554782055711808</c:v>
                </c:pt>
                <c:pt idx="22">
                  <c:v>0.18179586569334089</c:v>
                </c:pt>
                <c:pt idx="23">
                  <c:v>0.1764073669708825</c:v>
                </c:pt>
                <c:pt idx="24">
                  <c:v>0.14985397344400825</c:v>
                </c:pt>
                <c:pt idx="25">
                  <c:v>0.15657112986132171</c:v>
                </c:pt>
                <c:pt idx="26">
                  <c:v>0.14431447412579276</c:v>
                </c:pt>
                <c:pt idx="27">
                  <c:v>0.12337550837551231</c:v>
                </c:pt>
                <c:pt idx="28">
                  <c:v>0.12553211729317107</c:v>
                </c:pt>
                <c:pt idx="29">
                  <c:v>0.11827865226657085</c:v>
                </c:pt>
                <c:pt idx="30">
                  <c:v>0.15622977651155073</c:v>
                </c:pt>
                <c:pt idx="31">
                  <c:v>0.14542696036484751</c:v>
                </c:pt>
                <c:pt idx="32">
                  <c:v>0.17900734875131386</c:v>
                </c:pt>
                <c:pt idx="33">
                  <c:v>0.12438356104370747</c:v>
                </c:pt>
                <c:pt idx="34">
                  <c:v>7.524523935737723E-2</c:v>
                </c:pt>
                <c:pt idx="35">
                  <c:v>4.3722620497925198E-2</c:v>
                </c:pt>
                <c:pt idx="36">
                  <c:v>3.1498074251692661E-2</c:v>
                </c:pt>
                <c:pt idx="37">
                  <c:v>2.1753847375729597E-2</c:v>
                </c:pt>
                <c:pt idx="38">
                  <c:v>1.5611207534370446E-2</c:v>
                </c:pt>
                <c:pt idx="39">
                  <c:v>5.7658737625194715E-3</c:v>
                </c:pt>
                <c:pt idx="40">
                  <c:v>1.2000888382186186E-3</c:v>
                </c:pt>
                <c:pt idx="41">
                  <c:v>7.7462603273112775E-4</c:v>
                </c:pt>
                <c:pt idx="42">
                  <c:v>1.0180083396984078E-3</c:v>
                </c:pt>
                <c:pt idx="43">
                  <c:v>2.5895319851008155E-4</c:v>
                </c:pt>
                <c:pt idx="44">
                  <c:v>3.9722267197692319E-4</c:v>
                </c:pt>
                <c:pt idx="45">
                  <c:v>1.0345857944128547E-3</c:v>
                </c:pt>
                <c:pt idx="46">
                  <c:v>4.1104277576607391E-4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D32-41B1-A2D6-8E1DC38C9C1C}"/>
            </c:ext>
          </c:extLst>
        </c:ser>
        <c:ser>
          <c:idx val="3"/>
          <c:order val="3"/>
          <c:tx>
            <c:strRef>
              <c:f>'Темпогр 1'!$E$4:$E$4</c:f>
              <c:strCache>
                <c:ptCount val="1"/>
                <c:pt idx="0">
                  <c:v>Спавање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1'!$E$57:$E$104</c:f>
              <c:numCache>
                <c:formatCode>###0.0%</c:formatCode>
                <c:ptCount val="48"/>
                <c:pt idx="0">
                  <c:v>0.98107139901997154</c:v>
                </c:pt>
                <c:pt idx="1">
                  <c:v>0.97668983386159525</c:v>
                </c:pt>
                <c:pt idx="2">
                  <c:v>0.9593463502618591</c:v>
                </c:pt>
                <c:pt idx="3">
                  <c:v>0.91053535654134199</c:v>
                </c:pt>
                <c:pt idx="4">
                  <c:v>0.85677263434773832</c:v>
                </c:pt>
                <c:pt idx="5">
                  <c:v>0.73865357352149308</c:v>
                </c:pt>
                <c:pt idx="6">
                  <c:v>0.61376699782184385</c:v>
                </c:pt>
                <c:pt idx="7">
                  <c:v>0.44040854050404232</c:v>
                </c:pt>
                <c:pt idx="8">
                  <c:v>0.31941601179488405</c:v>
                </c:pt>
                <c:pt idx="9">
                  <c:v>0.22218391294454209</c:v>
                </c:pt>
                <c:pt idx="10">
                  <c:v>0.18164328742107044</c:v>
                </c:pt>
                <c:pt idx="11">
                  <c:v>0.12560338242773525</c:v>
                </c:pt>
                <c:pt idx="12">
                  <c:v>0.10299034812829194</c:v>
                </c:pt>
                <c:pt idx="13">
                  <c:v>6.0957292437682345E-2</c:v>
                </c:pt>
                <c:pt idx="14">
                  <c:v>4.9752819937925817E-2</c:v>
                </c:pt>
                <c:pt idx="15">
                  <c:v>3.7641929093636936E-2</c:v>
                </c:pt>
                <c:pt idx="16">
                  <c:v>3.2916685273586196E-2</c:v>
                </c:pt>
                <c:pt idx="17">
                  <c:v>2.8945260101884362E-2</c:v>
                </c:pt>
                <c:pt idx="18">
                  <c:v>4.7194807017159481E-2</c:v>
                </c:pt>
                <c:pt idx="19">
                  <c:v>3.9939320781912417E-2</c:v>
                </c:pt>
                <c:pt idx="20">
                  <c:v>4.1731309509194833E-2</c:v>
                </c:pt>
                <c:pt idx="21">
                  <c:v>5.0639003445212404E-2</c:v>
                </c:pt>
                <c:pt idx="22">
                  <c:v>5.5767007278551682E-2</c:v>
                </c:pt>
                <c:pt idx="23">
                  <c:v>6.8418301764369832E-2</c:v>
                </c:pt>
                <c:pt idx="24">
                  <c:v>6.928556313477148E-2</c:v>
                </c:pt>
                <c:pt idx="25">
                  <c:v>7.4754758549903391E-2</c:v>
                </c:pt>
                <c:pt idx="26">
                  <c:v>7.0626850821428291E-2</c:v>
                </c:pt>
                <c:pt idx="27">
                  <c:v>6.2346496396738553E-2</c:v>
                </c:pt>
                <c:pt idx="28">
                  <c:v>4.8153762102522701E-2</c:v>
                </c:pt>
                <c:pt idx="29">
                  <c:v>5.0443904953099993E-2</c:v>
                </c:pt>
                <c:pt idx="30">
                  <c:v>5.5367020146206529E-2</c:v>
                </c:pt>
                <c:pt idx="31">
                  <c:v>4.9835595723400149E-2</c:v>
                </c:pt>
                <c:pt idx="32">
                  <c:v>5.0307467164630325E-2</c:v>
                </c:pt>
                <c:pt idx="33">
                  <c:v>5.0043810583349189E-2</c:v>
                </c:pt>
                <c:pt idx="34">
                  <c:v>0.11633689167470829</c:v>
                </c:pt>
                <c:pt idx="35">
                  <c:v>0.1470704085471384</c:v>
                </c:pt>
                <c:pt idx="36">
                  <c:v>0.38983950937505585</c:v>
                </c:pt>
                <c:pt idx="37">
                  <c:v>0.47906589012867207</c:v>
                </c:pt>
                <c:pt idx="38">
                  <c:v>0.67666346641570185</c:v>
                </c:pt>
                <c:pt idx="39">
                  <c:v>0.77498586734196229</c:v>
                </c:pt>
                <c:pt idx="40">
                  <c:v>0.88555611946941459</c:v>
                </c:pt>
                <c:pt idx="41">
                  <c:v>0.9167951559974179</c:v>
                </c:pt>
                <c:pt idx="42">
                  <c:v>0.96488469720828318</c:v>
                </c:pt>
                <c:pt idx="43">
                  <c:v>0.97004193925100646</c:v>
                </c:pt>
                <c:pt idx="44">
                  <c:v>0.98078491442990323</c:v>
                </c:pt>
                <c:pt idx="45">
                  <c:v>0.98303185533328175</c:v>
                </c:pt>
                <c:pt idx="46">
                  <c:v>0.9865447102006577</c:v>
                </c:pt>
                <c:pt idx="47">
                  <c:v>0.98670607642541841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D32-41B1-A2D6-8E1DC38C9C1C}"/>
            </c:ext>
          </c:extLst>
        </c:ser>
        <c:ser>
          <c:idx val="4"/>
          <c:order val="4"/>
          <c:tx>
            <c:strRef>
              <c:f>'Темпогр 1'!$F$3:$F$4</c:f>
              <c:strCache>
                <c:ptCount val="2"/>
                <c:pt idx="1">
                  <c:v>Слободно време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1'!$F$57:$F$104</c:f>
              <c:numCache>
                <c:formatCode>###0.0%</c:formatCode>
                <c:ptCount val="48"/>
                <c:pt idx="0">
                  <c:v>2.0075534299382105E-3</c:v>
                </c:pt>
                <c:pt idx="1">
                  <c:v>5.290117488744823E-4</c:v>
                </c:pt>
                <c:pt idx="2">
                  <c:v>2.3663609271522227E-3</c:v>
                </c:pt>
                <c:pt idx="3">
                  <c:v>4.9265952817733527E-3</c:v>
                </c:pt>
                <c:pt idx="4">
                  <c:v>6.984451704753385E-3</c:v>
                </c:pt>
                <c:pt idx="5">
                  <c:v>6.5527864903482955E-3</c:v>
                </c:pt>
                <c:pt idx="6">
                  <c:v>1.4002478593285315E-2</c:v>
                </c:pt>
                <c:pt idx="7">
                  <c:v>2.8438884282410957E-2</c:v>
                </c:pt>
                <c:pt idx="8">
                  <c:v>3.6604392544650435E-2</c:v>
                </c:pt>
                <c:pt idx="9">
                  <c:v>5.2946889223776397E-2</c:v>
                </c:pt>
                <c:pt idx="10">
                  <c:v>6.5564859757935925E-2</c:v>
                </c:pt>
                <c:pt idx="11">
                  <c:v>9.8370170739443652E-2</c:v>
                </c:pt>
                <c:pt idx="12">
                  <c:v>0.12847694103712168</c:v>
                </c:pt>
                <c:pt idx="13">
                  <c:v>0.16530660335678743</c:v>
                </c:pt>
                <c:pt idx="14">
                  <c:v>0.19493294951495665</c:v>
                </c:pt>
                <c:pt idx="15">
                  <c:v>0.21355131129603969</c:v>
                </c:pt>
                <c:pt idx="16">
                  <c:v>0.22271052882142756</c:v>
                </c:pt>
                <c:pt idx="17">
                  <c:v>0.23515746817513283</c:v>
                </c:pt>
                <c:pt idx="18">
                  <c:v>0.22522032949926199</c:v>
                </c:pt>
                <c:pt idx="19">
                  <c:v>0.24125629967398748</c:v>
                </c:pt>
                <c:pt idx="20">
                  <c:v>0.23628508321901046</c:v>
                </c:pt>
                <c:pt idx="21">
                  <c:v>0.23699058172707491</c:v>
                </c:pt>
                <c:pt idx="22">
                  <c:v>0.24341741241343187</c:v>
                </c:pt>
                <c:pt idx="23">
                  <c:v>0.2802952448821569</c:v>
                </c:pt>
                <c:pt idx="24">
                  <c:v>0.30221492426558105</c:v>
                </c:pt>
                <c:pt idx="25">
                  <c:v>0.3116246425635894</c:v>
                </c:pt>
                <c:pt idx="26">
                  <c:v>0.34725780707900616</c:v>
                </c:pt>
                <c:pt idx="27">
                  <c:v>0.37231165048815368</c:v>
                </c:pt>
                <c:pt idx="28">
                  <c:v>0.36341383829575635</c:v>
                </c:pt>
                <c:pt idx="29">
                  <c:v>0.36370912191770616</c:v>
                </c:pt>
                <c:pt idx="30">
                  <c:v>0.28828612252693331</c:v>
                </c:pt>
                <c:pt idx="31">
                  <c:v>0.27964062345358809</c:v>
                </c:pt>
                <c:pt idx="32">
                  <c:v>0.26021668336963599</c:v>
                </c:pt>
                <c:pt idx="33">
                  <c:v>0.25747679182371702</c:v>
                </c:pt>
                <c:pt idx="34">
                  <c:v>0.2213818943245153</c:v>
                </c:pt>
                <c:pt idx="35">
                  <c:v>0.21479226336072033</c:v>
                </c:pt>
                <c:pt idx="36">
                  <c:v>0.16846953207226675</c:v>
                </c:pt>
                <c:pt idx="37">
                  <c:v>0.16226809214525909</c:v>
                </c:pt>
                <c:pt idx="38">
                  <c:v>0.11522635382962342</c:v>
                </c:pt>
                <c:pt idx="39">
                  <c:v>8.3954283907778093E-2</c:v>
                </c:pt>
                <c:pt idx="40">
                  <c:v>4.6775492967366675E-2</c:v>
                </c:pt>
                <c:pt idx="41">
                  <c:v>3.1187416870389218E-2</c:v>
                </c:pt>
                <c:pt idx="42">
                  <c:v>1.2288133474357765E-2</c:v>
                </c:pt>
                <c:pt idx="43">
                  <c:v>1.0951722334569401E-2</c:v>
                </c:pt>
                <c:pt idx="44">
                  <c:v>5.0339833040179737E-3</c:v>
                </c:pt>
                <c:pt idx="45">
                  <c:v>4.4051570168022903E-3</c:v>
                </c:pt>
                <c:pt idx="46">
                  <c:v>2.1447955481212525E-3</c:v>
                </c:pt>
                <c:pt idx="47">
                  <c:v>1.9273990557234744E-3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D32-41B1-A2D6-8E1DC38C9C1C}"/>
            </c:ext>
          </c:extLst>
        </c:ser>
        <c:ser>
          <c:idx val="5"/>
          <c:order val="5"/>
          <c:tx>
            <c:strRef>
              <c:f>'Темпогр 1'!$G$3:$G$4</c:f>
              <c:strCache>
                <c:ptCount val="2"/>
                <c:pt idx="1">
                  <c:v>ТВ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1'!$G$57:$G$104</c:f>
              <c:numCache>
                <c:formatCode>###0.0%</c:formatCode>
                <c:ptCount val="48"/>
                <c:pt idx="0">
                  <c:v>3.2258547335646559E-4</c:v>
                </c:pt>
                <c:pt idx="1">
                  <c:v>3.2258547335646559E-4</c:v>
                </c:pt>
                <c:pt idx="2">
                  <c:v>6.2540589973739569E-4</c:v>
                </c:pt>
                <c:pt idx="3">
                  <c:v>1.2809605999809517E-3</c:v>
                </c:pt>
                <c:pt idx="4">
                  <c:v>2.6458998980724373E-3</c:v>
                </c:pt>
                <c:pt idx="5">
                  <c:v>6.1705505577765267E-3</c:v>
                </c:pt>
                <c:pt idx="6">
                  <c:v>1.3187462461521565E-2</c:v>
                </c:pt>
                <c:pt idx="7">
                  <c:v>1.6543222289495067E-2</c:v>
                </c:pt>
                <c:pt idx="8">
                  <c:v>2.6266558364303191E-2</c:v>
                </c:pt>
                <c:pt idx="9">
                  <c:v>3.1080890913021252E-2</c:v>
                </c:pt>
                <c:pt idx="10">
                  <c:v>4.0653705601856015E-2</c:v>
                </c:pt>
                <c:pt idx="11">
                  <c:v>4.7670272126071937E-2</c:v>
                </c:pt>
                <c:pt idx="12">
                  <c:v>3.8447470603095391E-2</c:v>
                </c:pt>
                <c:pt idx="13">
                  <c:v>4.3271855702236926E-2</c:v>
                </c:pt>
                <c:pt idx="14">
                  <c:v>5.3340701335910123E-2</c:v>
                </c:pt>
                <c:pt idx="15">
                  <c:v>5.7624532829336897E-2</c:v>
                </c:pt>
                <c:pt idx="16">
                  <c:v>6.550544115727247E-2</c:v>
                </c:pt>
                <c:pt idx="17">
                  <c:v>6.8849851056314262E-2</c:v>
                </c:pt>
                <c:pt idx="18">
                  <c:v>4.7245763960172465E-2</c:v>
                </c:pt>
                <c:pt idx="19">
                  <c:v>5.3936985229348186E-2</c:v>
                </c:pt>
                <c:pt idx="20">
                  <c:v>5.144202211697204E-2</c:v>
                </c:pt>
                <c:pt idx="21">
                  <c:v>5.6184706871556293E-2</c:v>
                </c:pt>
                <c:pt idx="22">
                  <c:v>5.5607703330782299E-2</c:v>
                </c:pt>
                <c:pt idx="23">
                  <c:v>6.6203837277089228E-2</c:v>
                </c:pt>
                <c:pt idx="24">
                  <c:v>7.9612842170955517E-2</c:v>
                </c:pt>
                <c:pt idx="25">
                  <c:v>9.2055426395806397E-2</c:v>
                </c:pt>
                <c:pt idx="26">
                  <c:v>0.10197395913853144</c:v>
                </c:pt>
                <c:pt idx="27">
                  <c:v>0.1215094132341395</c:v>
                </c:pt>
                <c:pt idx="28">
                  <c:v>0.14467518058299286</c:v>
                </c:pt>
                <c:pt idx="29">
                  <c:v>0.17309468501989148</c:v>
                </c:pt>
                <c:pt idx="30">
                  <c:v>0.27404964236923801</c:v>
                </c:pt>
                <c:pt idx="31">
                  <c:v>0.33185720647554562</c:v>
                </c:pt>
                <c:pt idx="32">
                  <c:v>0.37197835330583146</c:v>
                </c:pt>
                <c:pt idx="33">
                  <c:v>0.44556713190376052</c:v>
                </c:pt>
                <c:pt idx="34">
                  <c:v>0.48362852909836684</c:v>
                </c:pt>
                <c:pt idx="35">
                  <c:v>0.51300157862946794</c:v>
                </c:pt>
                <c:pt idx="36">
                  <c:v>0.33535288048953132</c:v>
                </c:pt>
                <c:pt idx="37">
                  <c:v>0.289024256991325</c:v>
                </c:pt>
                <c:pt idx="38">
                  <c:v>0.1591014853515004</c:v>
                </c:pt>
                <c:pt idx="39">
                  <c:v>0.1094440432888831</c:v>
                </c:pt>
                <c:pt idx="40">
                  <c:v>4.6198923185809801E-2</c:v>
                </c:pt>
                <c:pt idx="41">
                  <c:v>3.4279038384428556E-2</c:v>
                </c:pt>
                <c:pt idx="42">
                  <c:v>9.0866357055880333E-3</c:v>
                </c:pt>
                <c:pt idx="43">
                  <c:v>7.5465501675351368E-3</c:v>
                </c:pt>
                <c:pt idx="44">
                  <c:v>2.7997806133303344E-3</c:v>
                </c:pt>
                <c:pt idx="45">
                  <c:v>1.635111623601302E-3</c:v>
                </c:pt>
                <c:pt idx="46">
                  <c:v>1.6441558307704147E-3</c:v>
                </c:pt>
                <c:pt idx="47">
                  <c:v>9.1939100828778027E-4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32-41B1-A2D6-8E1DC38C9C1C}"/>
            </c:ext>
          </c:extLst>
        </c:ser>
        <c:ser>
          <c:idx val="6"/>
          <c:order val="6"/>
          <c:tx>
            <c:strRef>
              <c:f>'Темпогр 1'!$H$3:$H$4</c:f>
              <c:strCache>
                <c:ptCount val="2"/>
                <c:pt idx="1">
                  <c:v>Остало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cat>
            <c:strRef>
              <c:f>'Темпогр 1'!$A$57:$A$104</c:f>
              <c:strCache>
                <c:ptCount val="48"/>
                <c:pt idx="0">
                  <c:v>04:00</c:v>
                </c:pt>
                <c:pt idx="8">
                  <c:v>08:00</c:v>
                </c:pt>
                <c:pt idx="16">
                  <c:v>12:00</c:v>
                </c:pt>
                <c:pt idx="24">
                  <c:v>16:00</c:v>
                </c:pt>
                <c:pt idx="32">
                  <c:v>20:00</c:v>
                </c:pt>
                <c:pt idx="40">
                  <c:v>00:00</c:v>
                </c:pt>
                <c:pt idx="47">
                  <c:v>03:30</c:v>
                </c:pt>
              </c:strCache>
            </c:strRef>
          </c:cat>
          <c:val>
            <c:numRef>
              <c:f>'Темпогр 1'!$H$57:$H$104</c:f>
              <c:numCache>
                <c:formatCode>###0.0%</c:formatCode>
                <c:ptCount val="48"/>
                <c:pt idx="0">
                  <c:v>5.5219247022127594E-4</c:v>
                </c:pt>
                <c:pt idx="1">
                  <c:v>5.5219247022127594E-4</c:v>
                </c:pt>
                <c:pt idx="2">
                  <c:v>0</c:v>
                </c:pt>
                <c:pt idx="3">
                  <c:v>0</c:v>
                </c:pt>
                <c:pt idx="4">
                  <c:v>1.7661826648170511E-3</c:v>
                </c:pt>
                <c:pt idx="5">
                  <c:v>1.4433852682410677E-3</c:v>
                </c:pt>
                <c:pt idx="6">
                  <c:v>1.6562758521897524E-3</c:v>
                </c:pt>
                <c:pt idx="7">
                  <c:v>2.3965680382698564E-3</c:v>
                </c:pt>
                <c:pt idx="8">
                  <c:v>3.1759847018604519E-3</c:v>
                </c:pt>
                <c:pt idx="9">
                  <c:v>2.9315613392759889E-3</c:v>
                </c:pt>
                <c:pt idx="10">
                  <c:v>4.3793217939854896E-3</c:v>
                </c:pt>
                <c:pt idx="11">
                  <c:v>3.4692541887392835E-3</c:v>
                </c:pt>
                <c:pt idx="12">
                  <c:v>8.1161920654551842E-3</c:v>
                </c:pt>
                <c:pt idx="13">
                  <c:v>7.3258640998474902E-3</c:v>
                </c:pt>
                <c:pt idx="14">
                  <c:v>7.9745805901969245E-3</c:v>
                </c:pt>
                <c:pt idx="15">
                  <c:v>4.2606256621252206E-3</c:v>
                </c:pt>
                <c:pt idx="16">
                  <c:v>3.8060500628896319E-3</c:v>
                </c:pt>
                <c:pt idx="17">
                  <c:v>3.952122993653889E-3</c:v>
                </c:pt>
                <c:pt idx="18">
                  <c:v>2.267808484960701E-3</c:v>
                </c:pt>
                <c:pt idx="19">
                  <c:v>2.3189860362136478E-3</c:v>
                </c:pt>
                <c:pt idx="20">
                  <c:v>3.3608511324443517E-3</c:v>
                </c:pt>
                <c:pt idx="21">
                  <c:v>1.9053412941491025E-3</c:v>
                </c:pt>
                <c:pt idx="22">
                  <c:v>1.7603975265903899E-3</c:v>
                </c:pt>
                <c:pt idx="23">
                  <c:v>4.2387437767888551E-3</c:v>
                </c:pt>
                <c:pt idx="24">
                  <c:v>3.7732825165522456E-3</c:v>
                </c:pt>
                <c:pt idx="25">
                  <c:v>3.4665636952459205E-3</c:v>
                </c:pt>
                <c:pt idx="26">
                  <c:v>4.3108206388388559E-3</c:v>
                </c:pt>
                <c:pt idx="27">
                  <c:v>4.1752369890418342E-3</c:v>
                </c:pt>
                <c:pt idx="28">
                  <c:v>4.8325452381514722E-3</c:v>
                </c:pt>
                <c:pt idx="29">
                  <c:v>4.9406479855610566E-3</c:v>
                </c:pt>
                <c:pt idx="30">
                  <c:v>5.1601487906047742E-3</c:v>
                </c:pt>
                <c:pt idx="31">
                  <c:v>5.1893492950130489E-3</c:v>
                </c:pt>
                <c:pt idx="32">
                  <c:v>5.6427432134730105E-3</c:v>
                </c:pt>
                <c:pt idx="33">
                  <c:v>6.9358306275893429E-3</c:v>
                </c:pt>
                <c:pt idx="34">
                  <c:v>1.0184260152264474E-2</c:v>
                </c:pt>
                <c:pt idx="35">
                  <c:v>5.0737675186742727E-3</c:v>
                </c:pt>
                <c:pt idx="36">
                  <c:v>9.4186279320210876E-3</c:v>
                </c:pt>
                <c:pt idx="37">
                  <c:v>3.5277930980329724E-3</c:v>
                </c:pt>
                <c:pt idx="38">
                  <c:v>4.3663998535114473E-3</c:v>
                </c:pt>
                <c:pt idx="39">
                  <c:v>4.4176513490336491E-3</c:v>
                </c:pt>
                <c:pt idx="40">
                  <c:v>9.2304948646357613E-4</c:v>
                </c:pt>
                <c:pt idx="41">
                  <c:v>1.2172326332590461E-3</c:v>
                </c:pt>
                <c:pt idx="42">
                  <c:v>6.2777884337320044E-4</c:v>
                </c:pt>
                <c:pt idx="43">
                  <c:v>3.9497328170270669E-4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D32-41B1-A2D6-8E1DC38C9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9059904"/>
        <c:axId val="1099053376"/>
      </c:areaChart>
      <c:catAx>
        <c:axId val="1099059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3376"/>
        <c:crosses val="autoZero"/>
        <c:auto val="1"/>
        <c:lblAlgn val="ctr"/>
        <c:lblOffset val="100"/>
        <c:noMultiLvlLbl val="0"/>
      </c:catAx>
      <c:valAx>
        <c:axId val="10990533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9905990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>
          <a:outerShdw blurRad="50800" dir="5400000" sx="55000" sy="55000" algn="ctr" rotWithShape="0">
            <a:srgbClr val="000000">
              <a:alpha val="43137"/>
            </a:srgbClr>
          </a:outerShdw>
        </a:effectLst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7" Type="http://schemas.openxmlformats.org/officeDocument/2006/relationships/chart" Target="../charts/chart14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6" Type="http://schemas.openxmlformats.org/officeDocument/2006/relationships/chart" Target="../charts/chart13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https://publikacije.stat.gov.rs/G2014/Pdf/G20146011.pdf" TargetMode="External"/><Relationship Id="rId2" Type="http://schemas.openxmlformats.org/officeDocument/2006/relationships/image" Target="../media/image4.png"/><Relationship Id="rId1" Type="http://schemas.openxmlformats.org/officeDocument/2006/relationships/hyperlink" Target="https://publikacije.stat.gov.rs/G2012/Pdf/G20126015.pdf" TargetMode="External"/><Relationship Id="rId6" Type="http://schemas.openxmlformats.org/officeDocument/2006/relationships/image" Target="../media/image6.jpg"/><Relationship Id="rId5" Type="http://schemas.openxmlformats.org/officeDocument/2006/relationships/hyperlink" Target="https://www.stat.gov.rs/publikacije/publication/?p=9794&amp;tip=6" TargetMode="Externa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9524</xdr:colOff>
      <xdr:row>0</xdr:row>
      <xdr:rowOff>0</xdr:rowOff>
    </xdr:from>
    <xdr:to>
      <xdr:col>10</xdr:col>
      <xdr:colOff>19050</xdr:colOff>
      <xdr:row>33</xdr:row>
      <xdr:rowOff>160598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4" y="0"/>
          <a:ext cx="6105526" cy="6494723"/>
        </a:xfrm>
        <a:prstGeom prst="rect">
          <a:avLst/>
        </a:prstGeom>
      </xdr:spPr>
    </xdr:pic>
    <xdr:clientData/>
  </xdr:twoCellAnchor>
  <xdr:twoCellAnchor>
    <xdr:from>
      <xdr:col>2</xdr:col>
      <xdr:colOff>485774</xdr:colOff>
      <xdr:row>5</xdr:row>
      <xdr:rowOff>201847</xdr:rowOff>
    </xdr:from>
    <xdr:to>
      <xdr:col>7</xdr:col>
      <xdr:colOff>152400</xdr:colOff>
      <xdr:row>8</xdr:row>
      <xdr:rowOff>30778</xdr:rowOff>
    </xdr:to>
    <xdr:sp macro="" textlink="">
      <xdr:nvSpPr>
        <xdr:cNvPr id="3" name="TextBox 2"/>
        <xdr:cNvSpPr txBox="1"/>
      </xdr:nvSpPr>
      <xdr:spPr>
        <a:xfrm>
          <a:off x="1704974" y="1154347"/>
          <a:ext cx="2714626" cy="44805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sr-Cyrl-RS" sz="2000" b="1">
              <a:solidFill>
                <a:schemeClr val="accent6">
                  <a:lumMod val="75000"/>
                </a:schemeClr>
              </a:solidFill>
            </a:rPr>
            <a:t>Табеле и графикони</a:t>
          </a:r>
          <a:endParaRPr lang="en-US" sz="2000" b="1">
            <a:solidFill>
              <a:schemeClr val="accent6">
                <a:lumMod val="75000"/>
              </a:schemeClr>
            </a:solidFill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3463</xdr:colOff>
      <xdr:row>3</xdr:row>
      <xdr:rowOff>88323</xdr:rowOff>
    </xdr:from>
    <xdr:to>
      <xdr:col>21</xdr:col>
      <xdr:colOff>600075</xdr:colOff>
      <xdr:row>24</xdr:row>
      <xdr:rowOff>86418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55</xdr:row>
      <xdr:rowOff>138547</xdr:rowOff>
    </xdr:from>
    <xdr:to>
      <xdr:col>21</xdr:col>
      <xdr:colOff>592836</xdr:colOff>
      <xdr:row>76</xdr:row>
      <xdr:rowOff>101971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107</xdr:row>
      <xdr:rowOff>233796</xdr:rowOff>
    </xdr:from>
    <xdr:to>
      <xdr:col>21</xdr:col>
      <xdr:colOff>592836</xdr:colOff>
      <xdr:row>128</xdr:row>
      <xdr:rowOff>205879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0</xdr:colOff>
      <xdr:row>211</xdr:row>
      <xdr:rowOff>346363</xdr:rowOff>
    </xdr:from>
    <xdr:to>
      <xdr:col>21</xdr:col>
      <xdr:colOff>592836</xdr:colOff>
      <xdr:row>233</xdr:row>
      <xdr:rowOff>171242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0</xdr:colOff>
      <xdr:row>264</xdr:row>
      <xdr:rowOff>0</xdr:rowOff>
    </xdr:from>
    <xdr:to>
      <xdr:col>21</xdr:col>
      <xdr:colOff>592836</xdr:colOff>
      <xdr:row>285</xdr:row>
      <xdr:rowOff>171243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368</xdr:row>
      <xdr:rowOff>0</xdr:rowOff>
    </xdr:from>
    <xdr:to>
      <xdr:col>21</xdr:col>
      <xdr:colOff>592836</xdr:colOff>
      <xdr:row>389</xdr:row>
      <xdr:rowOff>171242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420</xdr:row>
      <xdr:rowOff>0</xdr:rowOff>
    </xdr:from>
    <xdr:to>
      <xdr:col>21</xdr:col>
      <xdr:colOff>592836</xdr:colOff>
      <xdr:row>441</xdr:row>
      <xdr:rowOff>171242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10</xdr:col>
      <xdr:colOff>17319</xdr:colOff>
      <xdr:row>2</xdr:row>
      <xdr:rowOff>60615</xdr:rowOff>
    </xdr:from>
    <xdr:to>
      <xdr:col>11</xdr:col>
      <xdr:colOff>415637</xdr:colOff>
      <xdr:row>3</xdr:row>
      <xdr:rowOff>86591</xdr:rowOff>
    </xdr:to>
    <xdr:sp macro="" textlink="">
      <xdr:nvSpPr>
        <xdr:cNvPr id="3" name="TextBox 2"/>
        <xdr:cNvSpPr txBox="1"/>
      </xdr:nvSpPr>
      <xdr:spPr>
        <a:xfrm>
          <a:off x="6243205" y="822615"/>
          <a:ext cx="1004455" cy="22513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 b="0">
              <a:solidFill>
                <a:sysClr val="windowText" lastClr="000000"/>
              </a:solidFill>
            </a:rPr>
            <a:t>Укупно</a:t>
          </a:r>
          <a:endParaRPr lang="en-US" sz="11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17318</xdr:colOff>
      <xdr:row>54</xdr:row>
      <xdr:rowOff>95250</xdr:rowOff>
    </xdr:from>
    <xdr:to>
      <xdr:col>11</xdr:col>
      <xdr:colOff>415636</xdr:colOff>
      <xdr:row>55</xdr:row>
      <xdr:rowOff>121227</xdr:rowOff>
    </xdr:to>
    <xdr:sp macro="" textlink="">
      <xdr:nvSpPr>
        <xdr:cNvPr id="12" name="TextBox 11"/>
        <xdr:cNvSpPr txBox="1"/>
      </xdr:nvSpPr>
      <xdr:spPr>
        <a:xfrm>
          <a:off x="6243204" y="12010159"/>
          <a:ext cx="1004455" cy="225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 b="0"/>
            <a:t>Мушкарци</a:t>
          </a:r>
          <a:endParaRPr lang="en-US" sz="1100" b="0"/>
        </a:p>
      </xdr:txBody>
    </xdr:sp>
    <xdr:clientData/>
  </xdr:twoCellAnchor>
  <xdr:twoCellAnchor>
    <xdr:from>
      <xdr:col>9</xdr:col>
      <xdr:colOff>571500</xdr:colOff>
      <xdr:row>106</xdr:row>
      <xdr:rowOff>138545</xdr:rowOff>
    </xdr:from>
    <xdr:to>
      <xdr:col>11</xdr:col>
      <xdr:colOff>363682</xdr:colOff>
      <xdr:row>107</xdr:row>
      <xdr:rowOff>164522</xdr:rowOff>
    </xdr:to>
    <xdr:sp macro="" textlink="">
      <xdr:nvSpPr>
        <xdr:cNvPr id="14" name="TextBox 13"/>
        <xdr:cNvSpPr txBox="1"/>
      </xdr:nvSpPr>
      <xdr:spPr>
        <a:xfrm>
          <a:off x="6191250" y="23284295"/>
          <a:ext cx="1004455" cy="225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/>
            <a:t>Жене</a:t>
          </a:r>
          <a:endParaRPr lang="en-US" sz="1100"/>
        </a:p>
      </xdr:txBody>
    </xdr:sp>
    <xdr:clientData/>
  </xdr:twoCellAnchor>
  <xdr:twoCellAnchor>
    <xdr:from>
      <xdr:col>9</xdr:col>
      <xdr:colOff>588818</xdr:colOff>
      <xdr:row>211</xdr:row>
      <xdr:rowOff>60614</xdr:rowOff>
    </xdr:from>
    <xdr:to>
      <xdr:col>11</xdr:col>
      <xdr:colOff>381000</xdr:colOff>
      <xdr:row>211</xdr:row>
      <xdr:rowOff>285750</xdr:rowOff>
    </xdr:to>
    <xdr:sp macro="" textlink="">
      <xdr:nvSpPr>
        <xdr:cNvPr id="15" name="TextBox 14"/>
        <xdr:cNvSpPr txBox="1"/>
      </xdr:nvSpPr>
      <xdr:spPr>
        <a:xfrm>
          <a:off x="6208568" y="45676705"/>
          <a:ext cx="1004455" cy="225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/>
            <a:t>Мушкарци</a:t>
          </a:r>
          <a:endParaRPr lang="en-US" sz="1100"/>
        </a:p>
      </xdr:txBody>
    </xdr:sp>
    <xdr:clientData/>
  </xdr:twoCellAnchor>
  <xdr:twoCellAnchor>
    <xdr:from>
      <xdr:col>10</xdr:col>
      <xdr:colOff>0</xdr:colOff>
      <xdr:row>263</xdr:row>
      <xdr:rowOff>69272</xdr:rowOff>
    </xdr:from>
    <xdr:to>
      <xdr:col>11</xdr:col>
      <xdr:colOff>398318</xdr:colOff>
      <xdr:row>263</xdr:row>
      <xdr:rowOff>294408</xdr:rowOff>
    </xdr:to>
    <xdr:sp macro="" textlink="">
      <xdr:nvSpPr>
        <xdr:cNvPr id="16" name="TextBox 15"/>
        <xdr:cNvSpPr txBox="1"/>
      </xdr:nvSpPr>
      <xdr:spPr>
        <a:xfrm>
          <a:off x="6225886" y="56838272"/>
          <a:ext cx="1004455" cy="225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/>
            <a:t>Жене</a:t>
          </a:r>
          <a:endParaRPr lang="en-US" sz="1100"/>
        </a:p>
      </xdr:txBody>
    </xdr:sp>
    <xdr:clientData/>
  </xdr:twoCellAnchor>
  <xdr:twoCellAnchor>
    <xdr:from>
      <xdr:col>10</xdr:col>
      <xdr:colOff>8659</xdr:colOff>
      <xdr:row>367</xdr:row>
      <xdr:rowOff>138546</xdr:rowOff>
    </xdr:from>
    <xdr:to>
      <xdr:col>11</xdr:col>
      <xdr:colOff>406977</xdr:colOff>
      <xdr:row>367</xdr:row>
      <xdr:rowOff>363682</xdr:rowOff>
    </xdr:to>
    <xdr:sp macro="" textlink="">
      <xdr:nvSpPr>
        <xdr:cNvPr id="17" name="TextBox 16"/>
        <xdr:cNvSpPr txBox="1"/>
      </xdr:nvSpPr>
      <xdr:spPr>
        <a:xfrm>
          <a:off x="6234545" y="79308614"/>
          <a:ext cx="1004455" cy="225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/>
            <a:t>Мушкарци</a:t>
          </a:r>
          <a:endParaRPr lang="en-US" sz="1100"/>
        </a:p>
      </xdr:txBody>
    </xdr:sp>
    <xdr:clientData/>
  </xdr:twoCellAnchor>
  <xdr:twoCellAnchor>
    <xdr:from>
      <xdr:col>9</xdr:col>
      <xdr:colOff>580158</xdr:colOff>
      <xdr:row>419</xdr:row>
      <xdr:rowOff>147205</xdr:rowOff>
    </xdr:from>
    <xdr:to>
      <xdr:col>11</xdr:col>
      <xdr:colOff>372340</xdr:colOff>
      <xdr:row>419</xdr:row>
      <xdr:rowOff>372341</xdr:rowOff>
    </xdr:to>
    <xdr:sp macro="" textlink="">
      <xdr:nvSpPr>
        <xdr:cNvPr id="18" name="TextBox 17"/>
        <xdr:cNvSpPr txBox="1"/>
      </xdr:nvSpPr>
      <xdr:spPr>
        <a:xfrm>
          <a:off x="6199908" y="90271023"/>
          <a:ext cx="1004455" cy="22513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r>
            <a:rPr lang="sr-Cyrl-RS" sz="1100"/>
            <a:t>Жене</a:t>
          </a:r>
          <a:endParaRPr 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606136</xdr:colOff>
      <xdr:row>11</xdr:row>
      <xdr:rowOff>64077</xdr:rowOff>
    </xdr:from>
    <xdr:to>
      <xdr:col>16</xdr:col>
      <xdr:colOff>600075</xdr:colOff>
      <xdr:row>26</xdr:row>
      <xdr:rowOff>66674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</xdr:colOff>
      <xdr:row>9</xdr:row>
      <xdr:rowOff>4761</xdr:rowOff>
    </xdr:from>
    <xdr:to>
      <xdr:col>19</xdr:col>
      <xdr:colOff>0</xdr:colOff>
      <xdr:row>24</xdr:row>
      <xdr:rowOff>123824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0</xdr:colOff>
      <xdr:row>4</xdr:row>
      <xdr:rowOff>95250</xdr:rowOff>
    </xdr:from>
    <xdr:to>
      <xdr:col>39</xdr:col>
      <xdr:colOff>19050</xdr:colOff>
      <xdr:row>24</xdr:row>
      <xdr:rowOff>9524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92C23D7-27E5-4CE5-9B2E-9077CAC24D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29</xdr:row>
      <xdr:rowOff>1</xdr:rowOff>
    </xdr:from>
    <xdr:to>
      <xdr:col>9</xdr:col>
      <xdr:colOff>769621</xdr:colOff>
      <xdr:row>51</xdr:row>
      <xdr:rowOff>64771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828675</xdr:colOff>
      <xdr:row>28</xdr:row>
      <xdr:rowOff>304799</xdr:rowOff>
    </xdr:from>
    <xdr:to>
      <xdr:col>16</xdr:col>
      <xdr:colOff>121920</xdr:colOff>
      <xdr:row>51</xdr:row>
      <xdr:rowOff>64769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9523</xdr:colOff>
      <xdr:row>5</xdr:row>
      <xdr:rowOff>0</xdr:rowOff>
    </xdr:from>
    <xdr:to>
      <xdr:col>24</xdr:col>
      <xdr:colOff>609599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0.64858</cdr:x>
      <cdr:y>0.90196</cdr:y>
    </cdr:from>
    <cdr:to>
      <cdr:x>0.96065</cdr:x>
      <cdr:y>0.98039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52951" y="3067050"/>
          <a:ext cx="21907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0.71317</cdr:x>
      <cdr:y>0.85274</cdr:y>
    </cdr:from>
    <cdr:to>
      <cdr:x>0.99708</cdr:x>
      <cdr:y>0.915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210176" y="3248939"/>
          <a:ext cx="2074132" cy="2372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900"/>
            <a:t>Сати после завршеног плаћеног посла</a:t>
          </a:r>
          <a:endParaRPr lang="en-US" sz="900"/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9523</xdr:colOff>
      <xdr:row>5</xdr:row>
      <xdr:rowOff>0</xdr:rowOff>
    </xdr:from>
    <xdr:to>
      <xdr:col>24</xdr:col>
      <xdr:colOff>9525</xdr:colOff>
      <xdr:row>25</xdr:row>
      <xdr:rowOff>9525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0.64858</cdr:x>
      <cdr:y>0.90196</cdr:y>
    </cdr:from>
    <cdr:to>
      <cdr:x>0.96065</cdr:x>
      <cdr:y>0.98039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52951" y="3067050"/>
          <a:ext cx="21907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0.73264</cdr:x>
      <cdr:y>0.84484</cdr:y>
    </cdr:from>
    <cdr:to>
      <cdr:x>1</cdr:x>
      <cdr:y>0.90537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771114" y="3146406"/>
          <a:ext cx="2106063" cy="22544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900"/>
            <a:t>Сати после завршеног плаћеног посла</a:t>
          </a:r>
          <a:endParaRPr lang="en-US" sz="9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609599</xdr:colOff>
      <xdr:row>5</xdr:row>
      <xdr:rowOff>9525</xdr:rowOff>
    </xdr:from>
    <xdr:to>
      <xdr:col>23</xdr:col>
      <xdr:colOff>733425</xdr:colOff>
      <xdr:row>25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85724</xdr:colOff>
      <xdr:row>3</xdr:row>
      <xdr:rowOff>9525</xdr:rowOff>
    </xdr:from>
    <xdr:to>
      <xdr:col>7</xdr:col>
      <xdr:colOff>591692</xdr:colOff>
      <xdr:row>26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1"/>
        <a:srcRect l="24189" t="17585" r="37365" b="13827"/>
        <a:stretch/>
      </xdr:blipFill>
      <xdr:spPr bwMode="auto">
        <a:xfrm>
          <a:off x="85724" y="695325"/>
          <a:ext cx="4773168" cy="4533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3</xdr:row>
      <xdr:rowOff>28574</xdr:rowOff>
    </xdr:from>
    <xdr:to>
      <xdr:col>15</xdr:col>
      <xdr:colOff>333375</xdr:colOff>
      <xdr:row>26</xdr:row>
      <xdr:rowOff>152399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 l="23993" t="18415" r="37168" b="13477"/>
        <a:stretch/>
      </xdr:blipFill>
      <xdr:spPr bwMode="auto">
        <a:xfrm>
          <a:off x="4743450" y="714374"/>
          <a:ext cx="4733925" cy="450532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0.64858</cdr:x>
      <cdr:y>0.90196</cdr:y>
    </cdr:from>
    <cdr:to>
      <cdr:x>0.96065</cdr:x>
      <cdr:y>0.98039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52951" y="3067050"/>
          <a:ext cx="21907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0.71447</cdr:x>
      <cdr:y>0.84346</cdr:y>
    </cdr:from>
    <cdr:to>
      <cdr:x>0.98976</cdr:x>
      <cdr:y>0.9275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314951" y="3334103"/>
          <a:ext cx="2047875" cy="3322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900"/>
            <a:t>Сати после завршеног плаћеног посла</a:t>
          </a:r>
          <a:endParaRPr lang="en-US" sz="900"/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</xdr:colOff>
      <xdr:row>5</xdr:row>
      <xdr:rowOff>0</xdr:rowOff>
    </xdr:from>
    <xdr:to>
      <xdr:col>23</xdr:col>
      <xdr:colOff>800100</xdr:colOff>
      <xdr:row>24</xdr:row>
      <xdr:rowOff>190499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0.64858</cdr:x>
      <cdr:y>0.90196</cdr:y>
    </cdr:from>
    <cdr:to>
      <cdr:x>0.96065</cdr:x>
      <cdr:y>0.98039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52951" y="3067050"/>
          <a:ext cx="21907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0.72277</cdr:x>
      <cdr:y>0.86773</cdr:y>
    </cdr:from>
    <cdr:to>
      <cdr:x>0.99381</cdr:x>
      <cdr:y>0.93516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569450" y="3314308"/>
          <a:ext cx="2088558" cy="25756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900"/>
            <a:t>Сати после завршеног плаћеног посла</a:t>
          </a:r>
          <a:endParaRPr lang="en-US" sz="900"/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9524</xdr:colOff>
      <xdr:row>5</xdr:row>
      <xdr:rowOff>9526</xdr:rowOff>
    </xdr:from>
    <xdr:to>
      <xdr:col>23</xdr:col>
      <xdr:colOff>600075</xdr:colOff>
      <xdr:row>25</xdr:row>
      <xdr:rowOff>9526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0.64858</cdr:x>
      <cdr:y>0.90196</cdr:y>
    </cdr:from>
    <cdr:to>
      <cdr:x>0.96065</cdr:x>
      <cdr:y>0.98039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4552951" y="3067050"/>
          <a:ext cx="2190750" cy="266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0.71018</cdr:x>
      <cdr:y>0.85422</cdr:y>
    </cdr:from>
    <cdr:to>
      <cdr:x>1</cdr:x>
      <cdr:y>0.91609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5181601" y="3181349"/>
          <a:ext cx="2114550" cy="2304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sr-Cyrl-RS" sz="900"/>
            <a:t>Сати после завршеног плаћеног посла</a:t>
          </a:r>
          <a:endParaRPr lang="en-US" sz="900"/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</xdr:colOff>
      <xdr:row>18</xdr:row>
      <xdr:rowOff>0</xdr:rowOff>
    </xdr:from>
    <xdr:to>
      <xdr:col>15</xdr:col>
      <xdr:colOff>9525</xdr:colOff>
      <xdr:row>58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609599</xdr:colOff>
      <xdr:row>2</xdr:row>
      <xdr:rowOff>14287</xdr:rowOff>
    </xdr:from>
    <xdr:to>
      <xdr:col>19</xdr:col>
      <xdr:colOff>0</xdr:colOff>
      <xdr:row>14</xdr:row>
      <xdr:rowOff>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3536</xdr:colOff>
      <xdr:row>2</xdr:row>
      <xdr:rowOff>2610</xdr:rowOff>
    </xdr:from>
    <xdr:to>
      <xdr:col>17</xdr:col>
      <xdr:colOff>9526</xdr:colOff>
      <xdr:row>25</xdr:row>
      <xdr:rowOff>183585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</xdr:row>
      <xdr:rowOff>771524</xdr:rowOff>
    </xdr:from>
    <xdr:to>
      <xdr:col>13</xdr:col>
      <xdr:colOff>0</xdr:colOff>
      <xdr:row>16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609599</xdr:colOff>
      <xdr:row>2</xdr:row>
      <xdr:rowOff>38099</xdr:rowOff>
    </xdr:from>
    <xdr:to>
      <xdr:col>12</xdr:col>
      <xdr:colOff>600075</xdr:colOff>
      <xdr:row>14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3464</xdr:colOff>
      <xdr:row>2</xdr:row>
      <xdr:rowOff>1732</xdr:rowOff>
    </xdr:from>
    <xdr:to>
      <xdr:col>19</xdr:col>
      <xdr:colOff>581025</xdr:colOff>
      <xdr:row>8</xdr:row>
      <xdr:rowOff>438150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5AD0654-D888-9F79-4440-652A7447B8C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2</xdr:row>
      <xdr:rowOff>4761</xdr:rowOff>
    </xdr:from>
    <xdr:to>
      <xdr:col>17</xdr:col>
      <xdr:colOff>0</xdr:colOff>
      <xdr:row>16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</xdr:row>
      <xdr:rowOff>714375</xdr:rowOff>
    </xdr:from>
    <xdr:to>
      <xdr:col>15</xdr:col>
      <xdr:colOff>0</xdr:colOff>
      <xdr:row>18</xdr:row>
      <xdr:rowOff>19050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366711</xdr:rowOff>
    </xdr:from>
    <xdr:to>
      <xdr:col>21</xdr:col>
      <xdr:colOff>0</xdr:colOff>
      <xdr:row>23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</xdr:row>
      <xdr:rowOff>657223</xdr:rowOff>
    </xdr:from>
    <xdr:to>
      <xdr:col>14</xdr:col>
      <xdr:colOff>495300</xdr:colOff>
      <xdr:row>14</xdr:row>
      <xdr:rowOff>19049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4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</xdr:colOff>
      <xdr:row>15</xdr:row>
      <xdr:rowOff>1588</xdr:rowOff>
    </xdr:from>
    <xdr:to>
      <xdr:col>16</xdr:col>
      <xdr:colOff>600075</xdr:colOff>
      <xdr:row>29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1</xdr:row>
      <xdr:rowOff>438148</xdr:rowOff>
    </xdr:from>
    <xdr:to>
      <xdr:col>22</xdr:col>
      <xdr:colOff>1247776</xdr:colOff>
      <xdr:row>29</xdr:row>
      <xdr:rowOff>180975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6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336947</xdr:colOff>
      <xdr:row>7</xdr:row>
      <xdr:rowOff>106129</xdr:rowOff>
    </xdr:from>
    <xdr:to>
      <xdr:col>22</xdr:col>
      <xdr:colOff>1247775</xdr:colOff>
      <xdr:row>8</xdr:row>
      <xdr:rowOff>142875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E57F4C4D-275A-BAAF-17D1-CA078B5C858F}"/>
            </a:ext>
          </a:extLst>
        </xdr:cNvPr>
        <xdr:cNvSpPr/>
      </xdr:nvSpPr>
      <xdr:spPr>
        <a:xfrm>
          <a:off x="11185922" y="2287354"/>
          <a:ext cx="5787628" cy="227246"/>
        </a:xfrm>
        <a:prstGeom prst="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n-US" sz="900">
              <a:solidFill>
                <a:sysClr val="windowText" lastClr="000000"/>
              </a:solidFill>
              <a:effectLst/>
              <a:latin typeface="+mn-lt"/>
              <a:ea typeface="Times New Roman" panose="02020603050405020304" pitchFamily="18" charset="0"/>
              <a:cs typeface="Arial" panose="020B0604020202020204" pitchFamily="34" charset="0"/>
            </a:rPr>
            <a:t>Мали број случајева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638174</xdr:colOff>
      <xdr:row>2</xdr:row>
      <xdr:rowOff>9525</xdr:rowOff>
    </xdr:from>
    <xdr:to>
      <xdr:col>16</xdr:col>
      <xdr:colOff>0</xdr:colOff>
      <xdr:row>16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2</xdr:row>
      <xdr:rowOff>276224</xdr:rowOff>
    </xdr:from>
    <xdr:to>
      <xdr:col>13</xdr:col>
      <xdr:colOff>600075</xdr:colOff>
      <xdr:row>17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666749</xdr:colOff>
      <xdr:row>1</xdr:row>
      <xdr:rowOff>438149</xdr:rowOff>
    </xdr:from>
    <xdr:to>
      <xdr:col>18</xdr:col>
      <xdr:colOff>371474</xdr:colOff>
      <xdr:row>16</xdr:row>
      <xdr:rowOff>190499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609599</xdr:colOff>
      <xdr:row>1</xdr:row>
      <xdr:rowOff>485773</xdr:rowOff>
    </xdr:from>
    <xdr:to>
      <xdr:col>26</xdr:col>
      <xdr:colOff>0</xdr:colOff>
      <xdr:row>22</xdr:row>
      <xdr:rowOff>161925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295275</xdr:colOff>
      <xdr:row>7</xdr:row>
      <xdr:rowOff>0</xdr:rowOff>
    </xdr:from>
    <xdr:to>
      <xdr:col>25</xdr:col>
      <xdr:colOff>371474</xdr:colOff>
      <xdr:row>8</xdr:row>
      <xdr:rowOff>76199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E57F4C4D-275A-BAAF-17D1-CA078B5C858F}"/>
            </a:ext>
          </a:extLst>
        </xdr:cNvPr>
        <xdr:cNvSpPr/>
      </xdr:nvSpPr>
      <xdr:spPr>
        <a:xfrm>
          <a:off x="10953750" y="2019300"/>
          <a:ext cx="6172199" cy="266699"/>
        </a:xfrm>
        <a:prstGeom prst="rect">
          <a:avLst/>
        </a:prstGeom>
        <a:solidFill>
          <a:schemeClr val="bg1"/>
        </a:solidFill>
        <a:ln w="3175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n-US" sz="900">
              <a:solidFill>
                <a:sysClr val="windowText" lastClr="000000"/>
              </a:solidFill>
              <a:effectLst/>
              <a:latin typeface="+mn-lt"/>
              <a:ea typeface="Times New Roman" panose="02020603050405020304" pitchFamily="18" charset="0"/>
              <a:cs typeface="Arial" panose="020B0604020202020204" pitchFamily="34" charset="0"/>
            </a:rPr>
            <a:t>Мали број случајева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2597</xdr:colOff>
      <xdr:row>1</xdr:row>
      <xdr:rowOff>587087</xdr:rowOff>
    </xdr:from>
    <xdr:to>
      <xdr:col>15</xdr:col>
      <xdr:colOff>9525</xdr:colOff>
      <xdr:row>14</xdr:row>
      <xdr:rowOff>66675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609599</xdr:colOff>
      <xdr:row>2</xdr:row>
      <xdr:rowOff>9524</xdr:rowOff>
    </xdr:from>
    <xdr:to>
      <xdr:col>14</xdr:col>
      <xdr:colOff>333374</xdr:colOff>
      <xdr:row>15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9522</xdr:colOff>
      <xdr:row>14</xdr:row>
      <xdr:rowOff>76200</xdr:rowOff>
    </xdr:from>
    <xdr:to>
      <xdr:col>19</xdr:col>
      <xdr:colOff>600074</xdr:colOff>
      <xdr:row>35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</xdr:colOff>
      <xdr:row>2</xdr:row>
      <xdr:rowOff>600075</xdr:rowOff>
    </xdr:from>
    <xdr:to>
      <xdr:col>22</xdr:col>
      <xdr:colOff>95250</xdr:colOff>
      <xdr:row>20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3</xdr:row>
      <xdr:rowOff>180976</xdr:rowOff>
    </xdr:from>
    <xdr:to>
      <xdr:col>6</xdr:col>
      <xdr:colOff>600075</xdr:colOff>
      <xdr:row>31</xdr:row>
      <xdr:rowOff>242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25" y="809626"/>
          <a:ext cx="3638550" cy="5153266"/>
        </a:xfrm>
        <a:prstGeom prst="rect">
          <a:avLst/>
        </a:prstGeom>
      </xdr:spPr>
    </xdr:pic>
    <xdr:clientData/>
  </xdr:twoCellAnchor>
  <xdr:twoCellAnchor editAs="oneCell">
    <xdr:from>
      <xdr:col>8</xdr:col>
      <xdr:colOff>9773</xdr:colOff>
      <xdr:row>3</xdr:row>
      <xdr:rowOff>171450</xdr:rowOff>
    </xdr:from>
    <xdr:to>
      <xdr:col>14</xdr:col>
      <xdr:colOff>28575</xdr:colOff>
      <xdr:row>30</xdr:row>
      <xdr:rowOff>189984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6573" y="800100"/>
          <a:ext cx="3676402" cy="5162034"/>
        </a:xfrm>
        <a:prstGeom prst="rect">
          <a:avLst/>
        </a:prstGeom>
      </xdr:spPr>
    </xdr:pic>
    <xdr:clientData/>
  </xdr:twoCellAnchor>
  <xdr:twoCellAnchor editAs="oneCell">
    <xdr:from>
      <xdr:col>16</xdr:col>
      <xdr:colOff>6221</xdr:colOff>
      <xdr:row>3</xdr:row>
      <xdr:rowOff>190499</xdr:rowOff>
    </xdr:from>
    <xdr:to>
      <xdr:col>22</xdr:col>
      <xdr:colOff>19050</xdr:colOff>
      <xdr:row>31</xdr:row>
      <xdr:rowOff>402</xdr:rowOff>
    </xdr:to>
    <xdr:pic>
      <xdr:nvPicPr>
        <xdr:cNvPr id="4" name="Picture 3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59821" y="819149"/>
          <a:ext cx="3670429" cy="514390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605846</xdr:colOff>
      <xdr:row>1</xdr:row>
      <xdr:rowOff>484907</xdr:rowOff>
    </xdr:from>
    <xdr:to>
      <xdr:col>17</xdr:col>
      <xdr:colOff>590549</xdr:colOff>
      <xdr:row>18</xdr:row>
      <xdr:rowOff>190499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36999</xdr:rowOff>
    </xdr:from>
    <xdr:to>
      <xdr:col>15</xdr:col>
      <xdr:colOff>609599</xdr:colOff>
      <xdr:row>11</xdr:row>
      <xdr:rowOff>190499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12</xdr:row>
      <xdr:rowOff>66675</xdr:rowOff>
    </xdr:from>
    <xdr:to>
      <xdr:col>17</xdr:col>
      <xdr:colOff>609599</xdr:colOff>
      <xdr:row>31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1047749</xdr:colOff>
      <xdr:row>11</xdr:row>
      <xdr:rowOff>61912</xdr:rowOff>
    </xdr:from>
    <xdr:to>
      <xdr:col>16</xdr:col>
      <xdr:colOff>600074</xdr:colOff>
      <xdr:row>27</xdr:row>
      <xdr:rowOff>152400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866</xdr:colOff>
      <xdr:row>2</xdr:row>
      <xdr:rowOff>471919</xdr:rowOff>
    </xdr:from>
    <xdr:to>
      <xdr:col>23</xdr:col>
      <xdr:colOff>609599</xdr:colOff>
      <xdr:row>61</xdr:row>
      <xdr:rowOff>9524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334240</xdr:colOff>
      <xdr:row>9</xdr:row>
      <xdr:rowOff>113432</xdr:rowOff>
    </xdr:from>
    <xdr:to>
      <xdr:col>23</xdr:col>
      <xdr:colOff>419099</xdr:colOff>
      <xdr:row>10</xdr:row>
      <xdr:rowOff>160465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4D157094-1811-4458-9693-945B72D159CD}"/>
            </a:ext>
          </a:extLst>
        </xdr:cNvPr>
        <xdr:cNvSpPr/>
      </xdr:nvSpPr>
      <xdr:spPr>
        <a:xfrm>
          <a:off x="11468965" y="2456582"/>
          <a:ext cx="5571259" cy="256583"/>
        </a:xfrm>
        <a:prstGeom prst="rect">
          <a:avLst/>
        </a:prstGeom>
        <a:solidFill>
          <a:schemeClr val="bg1"/>
        </a:solidFill>
        <a:ln w="635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ctr" anchorCtr="0" forceAA="0" compatLnSpc="1">
          <a:prstTxWarp prst="textNoShape">
            <a:avLst/>
          </a:prstTxWarp>
          <a:noAutofit/>
        </a:bodyPr>
        <a:lstStyle/>
        <a:p>
          <a:pPr marL="0" marR="0" algn="ctr">
            <a:spcBef>
              <a:spcPts val="0"/>
            </a:spcBef>
            <a:spcAft>
              <a:spcPts val="0"/>
            </a:spcAft>
          </a:pPr>
          <a:r>
            <a:rPr lang="sr-Cyrl-RS" sz="90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Times New Roman" panose="02020603050405020304" pitchFamily="18" charset="0"/>
              <a:cs typeface="Arial" panose="020B0604020202020204" pitchFamily="34" charset="0"/>
            </a:rPr>
            <a:t>Мали број случајева</a:t>
          </a:r>
          <a:endParaRPr lang="en-US" sz="900">
            <a:solidFill>
              <a:sysClr val="windowText" lastClr="000000"/>
            </a:solidFill>
            <a:effectLst/>
            <a:latin typeface="Arial" panose="020B0604020202020204" pitchFamily="34" charset="0"/>
            <a:ea typeface="Times New Roman" panose="02020603050405020304" pitchFamily="18" charset="0"/>
            <a:cs typeface="Arial" panose="020B0604020202020204" pitchFamily="34" charset="0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Angsana New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明朝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Cordia New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6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7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8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0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1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2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3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34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35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stat.gov.rs/publikacije/publication/?p=9794&amp;tip=6" TargetMode="External"/><Relationship Id="rId2" Type="http://schemas.openxmlformats.org/officeDocument/2006/relationships/hyperlink" Target="https://publikacije.stat.gov.rs/G2014/Pdf/G20146011.pdf" TargetMode="External"/><Relationship Id="rId1" Type="http://schemas.openxmlformats.org/officeDocument/2006/relationships/hyperlink" Target="https://publikacije.stat.gov.rs/G2012/Pdf/G20126015.pdf" TargetMode="External"/><Relationship Id="rId5" Type="http://schemas.openxmlformats.org/officeDocument/2006/relationships/drawing" Target="../drawings/drawing43.xml"/><Relationship Id="rId4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K6"/>
  <sheetViews>
    <sheetView tabSelected="1" workbookViewId="0">
      <selection activeCell="L1" sqref="L1"/>
    </sheetView>
  </sheetViews>
  <sheetFormatPr defaultRowHeight="15" x14ac:dyDescent="0.25"/>
  <sheetData>
    <row r="6" spans="11:11" ht="18.75" x14ac:dyDescent="0.3">
      <c r="K6" s="507"/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J11"/>
  <sheetViews>
    <sheetView workbookViewId="0"/>
  </sheetViews>
  <sheetFormatPr defaultRowHeight="15" x14ac:dyDescent="0.25"/>
  <cols>
    <col min="1" max="1" width="21.28515625" customWidth="1"/>
    <col min="2" max="2" width="11.140625" customWidth="1"/>
    <col min="3" max="3" width="13.42578125" customWidth="1"/>
    <col min="4" max="4" width="11.28515625" customWidth="1"/>
    <col min="5" max="5" width="10.42578125" customWidth="1"/>
    <col min="6" max="6" width="12.42578125" customWidth="1"/>
    <col min="7" max="7" width="10.7109375" customWidth="1"/>
    <col min="9" max="9" width="12.28515625" customWidth="1"/>
    <col min="10" max="10" width="11.42578125" customWidth="1"/>
  </cols>
  <sheetData>
    <row r="1" spans="1:10" ht="17.25" customHeight="1" x14ac:dyDescent="0.25"/>
    <row r="2" spans="1:10" ht="31.5" customHeight="1" x14ac:dyDescent="0.25">
      <c r="A2" s="1225" t="s">
        <v>505</v>
      </c>
      <c r="B2" s="1225"/>
      <c r="C2" s="1225"/>
      <c r="D2" s="1225"/>
      <c r="E2" s="1225"/>
      <c r="F2" s="1225"/>
      <c r="G2" s="1225"/>
      <c r="H2" s="1225"/>
      <c r="I2" s="1225"/>
      <c r="J2" s="1225"/>
    </row>
    <row r="3" spans="1:10" ht="12" customHeight="1" thickBot="1" x14ac:dyDescent="0.3"/>
    <row r="4" spans="1:10" x14ac:dyDescent="0.25">
      <c r="A4" s="1247"/>
      <c r="B4" s="1244" t="s">
        <v>60</v>
      </c>
      <c r="C4" s="1245"/>
      <c r="D4" s="1246"/>
      <c r="E4" s="1244" t="s">
        <v>59</v>
      </c>
      <c r="F4" s="1245"/>
      <c r="G4" s="1246"/>
      <c r="H4" s="1244" t="s">
        <v>122</v>
      </c>
      <c r="I4" s="1245"/>
      <c r="J4" s="1246"/>
    </row>
    <row r="5" spans="1:10" ht="18.75" customHeight="1" thickBot="1" x14ac:dyDescent="0.3">
      <c r="A5" s="1248"/>
      <c r="B5" s="461" t="s">
        <v>101</v>
      </c>
      <c r="C5" s="457" t="s">
        <v>102</v>
      </c>
      <c r="D5" s="458" t="s">
        <v>103</v>
      </c>
      <c r="E5" s="461" t="s">
        <v>101</v>
      </c>
      <c r="F5" s="457" t="s">
        <v>102</v>
      </c>
      <c r="G5" s="458" t="s">
        <v>103</v>
      </c>
      <c r="H5" s="461" t="s">
        <v>101</v>
      </c>
      <c r="I5" s="457" t="s">
        <v>102</v>
      </c>
      <c r="J5" s="458" t="s">
        <v>103</v>
      </c>
    </row>
    <row r="6" spans="1:10" ht="17.100000000000001" customHeight="1" x14ac:dyDescent="0.25">
      <c r="A6" s="452" t="s">
        <v>113</v>
      </c>
      <c r="B6" s="1032" t="s">
        <v>506</v>
      </c>
      <c r="C6" s="1033" t="s">
        <v>512</v>
      </c>
      <c r="D6" s="1034" t="s">
        <v>1</v>
      </c>
      <c r="E6" s="1041" t="s">
        <v>521</v>
      </c>
      <c r="F6" s="1042" t="s">
        <v>526</v>
      </c>
      <c r="G6" s="1043" t="s">
        <v>530</v>
      </c>
      <c r="H6" s="1041" t="s">
        <v>535</v>
      </c>
      <c r="I6" s="1042" t="s">
        <v>538</v>
      </c>
      <c r="J6" s="1043" t="s">
        <v>543</v>
      </c>
    </row>
    <row r="7" spans="1:10" ht="17.100000000000001" customHeight="1" x14ac:dyDescent="0.25">
      <c r="A7" s="452" t="s">
        <v>114</v>
      </c>
      <c r="B7" s="1035" t="s">
        <v>507</v>
      </c>
      <c r="C7" s="1036" t="s">
        <v>513</v>
      </c>
      <c r="D7" s="1037" t="s">
        <v>518</v>
      </c>
      <c r="E7" s="1035" t="s">
        <v>522</v>
      </c>
      <c r="F7" s="1036" t="s">
        <v>54</v>
      </c>
      <c r="G7" s="1037" t="s">
        <v>531</v>
      </c>
      <c r="H7" s="1035" t="s">
        <v>536</v>
      </c>
      <c r="I7" s="1036" t="s">
        <v>539</v>
      </c>
      <c r="J7" s="1037" t="s">
        <v>544</v>
      </c>
    </row>
    <row r="8" spans="1:10" ht="17.100000000000001" customHeight="1" x14ac:dyDescent="0.25">
      <c r="A8" s="452" t="s">
        <v>115</v>
      </c>
      <c r="B8" s="1035" t="s">
        <v>508</v>
      </c>
      <c r="C8" s="1036" t="s">
        <v>514</v>
      </c>
      <c r="D8" s="1037" t="s">
        <v>519</v>
      </c>
      <c r="E8" s="1035" t="s">
        <v>523</v>
      </c>
      <c r="F8" s="1036" t="s">
        <v>54</v>
      </c>
      <c r="G8" s="1037" t="s">
        <v>532</v>
      </c>
      <c r="H8" s="1035" t="s">
        <v>537</v>
      </c>
      <c r="I8" s="1036" t="s">
        <v>540</v>
      </c>
      <c r="J8" s="1037" t="s">
        <v>545</v>
      </c>
    </row>
    <row r="9" spans="1:10" ht="17.100000000000001" customHeight="1" x14ac:dyDescent="0.25">
      <c r="A9" s="452" t="s">
        <v>116</v>
      </c>
      <c r="B9" s="1035" t="s">
        <v>509</v>
      </c>
      <c r="C9" s="1036" t="s">
        <v>515</v>
      </c>
      <c r="D9" s="1037" t="s">
        <v>419</v>
      </c>
      <c r="E9" s="1035" t="s">
        <v>524</v>
      </c>
      <c r="F9" s="1036" t="s">
        <v>527</v>
      </c>
      <c r="G9" s="1037" t="s">
        <v>533</v>
      </c>
      <c r="H9" s="1035" t="s">
        <v>430</v>
      </c>
      <c r="I9" s="1036" t="s">
        <v>435</v>
      </c>
      <c r="J9" s="1037" t="s">
        <v>546</v>
      </c>
    </row>
    <row r="10" spans="1:10" ht="17.100000000000001" customHeight="1" x14ac:dyDescent="0.25">
      <c r="A10" s="452" t="s">
        <v>117</v>
      </c>
      <c r="B10" s="1035" t="s">
        <v>510</v>
      </c>
      <c r="C10" s="1036" t="s">
        <v>516</v>
      </c>
      <c r="D10" s="1037" t="s">
        <v>520</v>
      </c>
      <c r="E10" s="1035" t="s">
        <v>525</v>
      </c>
      <c r="F10" s="1036" t="s">
        <v>528</v>
      </c>
      <c r="G10" s="1037" t="s">
        <v>534</v>
      </c>
      <c r="H10" s="1035" t="s">
        <v>16</v>
      </c>
      <c r="I10" s="1036" t="s">
        <v>541</v>
      </c>
      <c r="J10" s="1037" t="s">
        <v>547</v>
      </c>
    </row>
    <row r="11" spans="1:10" ht="17.100000000000001" customHeight="1" thickBot="1" x14ac:dyDescent="0.3">
      <c r="A11" s="453" t="s">
        <v>167</v>
      </c>
      <c r="B11" s="1038" t="s">
        <v>511</v>
      </c>
      <c r="C11" s="1039" t="s">
        <v>517</v>
      </c>
      <c r="D11" s="1040" t="s">
        <v>49</v>
      </c>
      <c r="E11" s="1038" t="s">
        <v>49</v>
      </c>
      <c r="F11" s="1039" t="s">
        <v>529</v>
      </c>
      <c r="G11" s="1040" t="s">
        <v>542</v>
      </c>
      <c r="H11" s="1038" t="s">
        <v>549</v>
      </c>
      <c r="I11" s="1039" t="s">
        <v>542</v>
      </c>
      <c r="J11" s="1040" t="s">
        <v>548</v>
      </c>
    </row>
  </sheetData>
  <mergeCells count="5">
    <mergeCell ref="A4:A5"/>
    <mergeCell ref="B4:D4"/>
    <mergeCell ref="E4:G4"/>
    <mergeCell ref="H4:J4"/>
    <mergeCell ref="A2:J2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10"/>
  <sheetViews>
    <sheetView zoomScaleNormal="100" workbookViewId="0">
      <selection activeCell="I1" sqref="I1"/>
    </sheetView>
  </sheetViews>
  <sheetFormatPr defaultRowHeight="15" x14ac:dyDescent="0.25"/>
  <cols>
    <col min="1" max="1" width="21.7109375" customWidth="1"/>
    <col min="2" max="4" width="12" customWidth="1"/>
    <col min="5" max="5" width="12.140625" customWidth="1"/>
    <col min="6" max="6" width="12.28515625" customWidth="1"/>
    <col min="7" max="7" width="12" customWidth="1"/>
    <col min="9" max="9" width="17.5703125" bestFit="1" customWidth="1"/>
    <col min="10" max="10" width="14" customWidth="1"/>
    <col min="13" max="13" width="16.7109375" bestFit="1" customWidth="1"/>
  </cols>
  <sheetData>
    <row r="1" spans="1:18" ht="19.5" customHeight="1" x14ac:dyDescent="0.25"/>
    <row r="2" spans="1:18" ht="38.25" customHeight="1" thickBot="1" x14ac:dyDescent="0.3">
      <c r="A2" s="1255" t="s">
        <v>503</v>
      </c>
      <c r="B2" s="1256"/>
      <c r="C2" s="1256"/>
      <c r="D2" s="1256"/>
      <c r="E2" s="1256"/>
      <c r="F2" s="1256"/>
      <c r="G2" s="1256"/>
      <c r="I2" s="1229" t="s">
        <v>504</v>
      </c>
      <c r="J2" s="1229"/>
      <c r="K2" s="1229"/>
      <c r="L2" s="1229"/>
      <c r="M2" s="1229"/>
      <c r="N2" s="1229"/>
      <c r="O2" s="1229"/>
      <c r="P2" s="1229"/>
      <c r="Q2" s="1229"/>
      <c r="R2" s="1229"/>
    </row>
    <row r="3" spans="1:18" x14ac:dyDescent="0.25">
      <c r="A3" s="1257"/>
      <c r="B3" s="1249" t="s">
        <v>99</v>
      </c>
      <c r="C3" s="1250"/>
      <c r="D3" s="1251" t="s">
        <v>169</v>
      </c>
      <c r="E3" s="1252"/>
      <c r="F3" s="1253" t="s">
        <v>351</v>
      </c>
      <c r="G3" s="1254"/>
    </row>
    <row r="4" spans="1:18" ht="15.75" thickBot="1" x14ac:dyDescent="0.3">
      <c r="A4" s="1258"/>
      <c r="B4" s="526" t="s">
        <v>12</v>
      </c>
      <c r="C4" s="942" t="s">
        <v>11</v>
      </c>
      <c r="D4" s="954" t="s">
        <v>12</v>
      </c>
      <c r="E4" s="955" t="s">
        <v>11</v>
      </c>
      <c r="F4" s="948" t="s">
        <v>12</v>
      </c>
      <c r="G4" s="527" t="s">
        <v>11</v>
      </c>
    </row>
    <row r="5" spans="1:18" x14ac:dyDescent="0.25">
      <c r="A5" s="1117" t="s">
        <v>113</v>
      </c>
      <c r="B5" s="529">
        <v>3.3089388334076024</v>
      </c>
      <c r="C5" s="943">
        <v>1.8624096106065839</v>
      </c>
      <c r="D5" s="529">
        <v>5.5029883971527749</v>
      </c>
      <c r="E5" s="530">
        <v>3.6674689785797101</v>
      </c>
      <c r="F5" s="949">
        <v>0.52654725535364211</v>
      </c>
      <c r="G5" s="530">
        <v>0.18757940239902013</v>
      </c>
    </row>
    <row r="6" spans="1:18" x14ac:dyDescent="0.25">
      <c r="A6" s="1118" t="s">
        <v>114</v>
      </c>
      <c r="B6" s="532">
        <v>0.98753666391583605</v>
      </c>
      <c r="C6" s="944">
        <v>2.3529317288473353</v>
      </c>
      <c r="D6" s="532">
        <v>1.9535769070750308</v>
      </c>
      <c r="E6" s="533">
        <v>4.522775542422429</v>
      </c>
      <c r="F6" s="950">
        <v>3.2597312025704679</v>
      </c>
      <c r="G6" s="533">
        <v>4.5225687530995726</v>
      </c>
    </row>
    <row r="7" spans="1:18" x14ac:dyDescent="0.25">
      <c r="A7" s="1118" t="s">
        <v>115</v>
      </c>
      <c r="B7" s="534">
        <v>2.0352623819603552</v>
      </c>
      <c r="C7" s="945">
        <v>2.429634453359871</v>
      </c>
      <c r="D7" s="534">
        <v>7.7894155490275344E-3</v>
      </c>
      <c r="E7" s="535">
        <v>2.927103488970197E-2</v>
      </c>
      <c r="F7" s="951">
        <v>1.6085997725908754E-3</v>
      </c>
      <c r="G7" s="535">
        <v>3.7749556968698695E-3</v>
      </c>
    </row>
    <row r="8" spans="1:18" x14ac:dyDescent="0.25">
      <c r="A8" s="1118" t="s">
        <v>116</v>
      </c>
      <c r="B8" s="536">
        <v>11.185260757402196</v>
      </c>
      <c r="C8" s="946">
        <v>11.703537158373992</v>
      </c>
      <c r="D8" s="536">
        <v>11.098850414073105</v>
      </c>
      <c r="E8" s="537">
        <v>11.128024898705092</v>
      </c>
      <c r="F8" s="952">
        <v>12.246684330965106</v>
      </c>
      <c r="G8" s="537">
        <v>12.331694133245678</v>
      </c>
    </row>
    <row r="9" spans="1:18" x14ac:dyDescent="0.25">
      <c r="A9" s="1118" t="s">
        <v>117</v>
      </c>
      <c r="B9" s="536">
        <v>6.4475522866035355</v>
      </c>
      <c r="C9" s="946">
        <v>5.6412381414214501</v>
      </c>
      <c r="D9" s="536">
        <v>5.4123066012842918</v>
      </c>
      <c r="E9" s="537">
        <v>4.6382113124932483</v>
      </c>
      <c r="F9" s="952">
        <v>7.9558098924931979</v>
      </c>
      <c r="G9" s="537">
        <v>6.9426768317580319</v>
      </c>
    </row>
    <row r="10" spans="1:18" ht="15.75" thickBot="1" x14ac:dyDescent="0.3">
      <c r="A10" s="1119" t="s">
        <v>118</v>
      </c>
      <c r="B10" s="538">
        <v>3.5449076710482218E-2</v>
      </c>
      <c r="C10" s="947">
        <v>1.0248907390763781E-2</v>
      </c>
      <c r="D10" s="538">
        <v>2.4488264865747747E-2</v>
      </c>
      <c r="E10" s="539">
        <v>1.4248232909817466E-2</v>
      </c>
      <c r="F10" s="953">
        <v>9.6187188450031717E-3</v>
      </c>
      <c r="G10" s="539">
        <v>1.170592380082641E-2</v>
      </c>
    </row>
  </sheetData>
  <mergeCells count="6">
    <mergeCell ref="B3:C3"/>
    <mergeCell ref="D3:E3"/>
    <mergeCell ref="F3:G3"/>
    <mergeCell ref="A2:G2"/>
    <mergeCell ref="I2:R2"/>
    <mergeCell ref="A3:A4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R11"/>
  <sheetViews>
    <sheetView workbookViewId="0"/>
  </sheetViews>
  <sheetFormatPr defaultRowHeight="15" x14ac:dyDescent="0.25"/>
  <cols>
    <col min="1" max="1" width="17.7109375" customWidth="1"/>
    <col min="2" max="2" width="11" customWidth="1"/>
    <col min="3" max="3" width="12.28515625" customWidth="1"/>
    <col min="4" max="4" width="11" customWidth="1"/>
    <col min="5" max="5" width="13" customWidth="1"/>
    <col min="6" max="6" width="11" customWidth="1"/>
    <col min="7" max="7" width="14.140625" customWidth="1"/>
  </cols>
  <sheetData>
    <row r="1" spans="1:18" ht="21" customHeight="1" x14ac:dyDescent="0.25"/>
    <row r="2" spans="1:18" ht="36" customHeight="1" x14ac:dyDescent="0.25">
      <c r="A2" s="1225" t="s">
        <v>502</v>
      </c>
      <c r="B2" s="1225"/>
      <c r="C2" s="1225"/>
      <c r="D2" s="1225"/>
      <c r="E2" s="1225"/>
      <c r="F2" s="1225"/>
      <c r="G2" s="1225"/>
      <c r="H2" s="1225"/>
      <c r="I2" s="1225"/>
      <c r="J2" s="1225"/>
      <c r="K2" s="155"/>
      <c r="L2" s="155"/>
      <c r="M2" s="155"/>
      <c r="N2" s="155"/>
      <c r="O2" s="155"/>
      <c r="P2" s="155"/>
      <c r="Q2" s="155"/>
      <c r="R2" s="155"/>
    </row>
    <row r="3" spans="1:18" ht="15.75" thickBot="1" x14ac:dyDescent="0.3"/>
    <row r="4" spans="1:18" x14ac:dyDescent="0.25">
      <c r="A4" s="1053"/>
      <c r="B4" s="1259" t="s">
        <v>105</v>
      </c>
      <c r="C4" s="1260"/>
      <c r="D4" s="1259" t="s">
        <v>106</v>
      </c>
      <c r="E4" s="1261"/>
      <c r="F4" s="1262" t="s">
        <v>13</v>
      </c>
      <c r="G4" s="1261"/>
    </row>
    <row r="5" spans="1:18" ht="15.75" thickBot="1" x14ac:dyDescent="0.3">
      <c r="A5" s="1054"/>
      <c r="B5" s="451" t="s">
        <v>101</v>
      </c>
      <c r="C5" s="928" t="s">
        <v>102</v>
      </c>
      <c r="D5" s="451" t="s">
        <v>101</v>
      </c>
      <c r="E5" s="450" t="s">
        <v>102</v>
      </c>
      <c r="F5" s="939" t="s">
        <v>101</v>
      </c>
      <c r="G5" s="450" t="s">
        <v>102</v>
      </c>
    </row>
    <row r="6" spans="1:18" ht="17.100000000000001" customHeight="1" x14ac:dyDescent="0.25">
      <c r="A6" s="510" t="s">
        <v>113</v>
      </c>
      <c r="B6" s="511" t="s">
        <v>170</v>
      </c>
      <c r="C6" s="937" t="s">
        <v>171</v>
      </c>
      <c r="D6" s="511" t="s">
        <v>172</v>
      </c>
      <c r="E6" s="512" t="s">
        <v>173</v>
      </c>
      <c r="F6" s="940" t="s">
        <v>174</v>
      </c>
      <c r="G6" s="512" t="s">
        <v>175</v>
      </c>
    </row>
    <row r="7" spans="1:18" ht="17.100000000000001" customHeight="1" x14ac:dyDescent="0.25">
      <c r="A7" s="513" t="s">
        <v>114</v>
      </c>
      <c r="B7" s="514" t="s">
        <v>176</v>
      </c>
      <c r="C7" s="938" t="s">
        <v>177</v>
      </c>
      <c r="D7" s="514" t="s">
        <v>178</v>
      </c>
      <c r="E7" s="515" t="s">
        <v>179</v>
      </c>
      <c r="F7" s="941" t="s">
        <v>180</v>
      </c>
      <c r="G7" s="515" t="s">
        <v>181</v>
      </c>
    </row>
    <row r="8" spans="1:18" ht="17.100000000000001" customHeight="1" x14ac:dyDescent="0.25">
      <c r="A8" s="513" t="s">
        <v>115</v>
      </c>
      <c r="B8" s="514" t="s">
        <v>182</v>
      </c>
      <c r="C8" s="938" t="s">
        <v>183</v>
      </c>
      <c r="D8" s="514" t="s">
        <v>184</v>
      </c>
      <c r="E8" s="515" t="s">
        <v>185</v>
      </c>
      <c r="F8" s="941" t="s">
        <v>186</v>
      </c>
      <c r="G8" s="515" t="s">
        <v>187</v>
      </c>
    </row>
    <row r="9" spans="1:18" ht="17.100000000000001" customHeight="1" x14ac:dyDescent="0.25">
      <c r="A9" s="513" t="s">
        <v>116</v>
      </c>
      <c r="B9" s="514" t="s">
        <v>149</v>
      </c>
      <c r="C9" s="938" t="s">
        <v>149</v>
      </c>
      <c r="D9" s="514" t="s">
        <v>149</v>
      </c>
      <c r="E9" s="515">
        <v>100</v>
      </c>
      <c r="F9" s="941" t="s">
        <v>149</v>
      </c>
      <c r="G9" s="515" t="s">
        <v>149</v>
      </c>
    </row>
    <row r="10" spans="1:18" ht="17.100000000000001" customHeight="1" x14ac:dyDescent="0.25">
      <c r="A10" s="513" t="s">
        <v>117</v>
      </c>
      <c r="B10" s="514" t="s">
        <v>188</v>
      </c>
      <c r="C10" s="938" t="s">
        <v>155</v>
      </c>
      <c r="D10" s="514" t="s">
        <v>189</v>
      </c>
      <c r="E10" s="515" t="s">
        <v>190</v>
      </c>
      <c r="F10" s="941" t="s">
        <v>191</v>
      </c>
      <c r="G10" s="515" t="s">
        <v>149</v>
      </c>
    </row>
    <row r="11" spans="1:18" ht="17.100000000000001" customHeight="1" thickBot="1" x14ac:dyDescent="0.3">
      <c r="A11" s="516" t="s">
        <v>118</v>
      </c>
      <c r="B11" s="517" t="s">
        <v>192</v>
      </c>
      <c r="C11" s="931" t="s">
        <v>193</v>
      </c>
      <c r="D11" s="1121" t="s">
        <v>696</v>
      </c>
      <c r="E11" s="1122" t="s">
        <v>165</v>
      </c>
      <c r="F11" s="1123" t="s">
        <v>697</v>
      </c>
      <c r="G11" s="1122" t="s">
        <v>698</v>
      </c>
    </row>
  </sheetData>
  <mergeCells count="4">
    <mergeCell ref="B4:C4"/>
    <mergeCell ref="D4:E4"/>
    <mergeCell ref="F4:G4"/>
    <mergeCell ref="A2:J2"/>
  </mergeCell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5"/>
  <sheetViews>
    <sheetView zoomScaleNormal="100" workbookViewId="0">
      <selection activeCell="G1" sqref="G1"/>
    </sheetView>
  </sheetViews>
  <sheetFormatPr defaultRowHeight="15" x14ac:dyDescent="0.25"/>
  <cols>
    <col min="1" max="1" width="19.85546875" customWidth="1"/>
    <col min="2" max="2" width="13" customWidth="1"/>
    <col min="3" max="3" width="12.42578125" customWidth="1"/>
    <col min="4" max="4" width="13" customWidth="1"/>
    <col min="5" max="5" width="13.85546875" customWidth="1"/>
    <col min="6" max="6" width="12.140625" customWidth="1"/>
  </cols>
  <sheetData>
    <row r="1" spans="1:16" ht="24" customHeight="1" x14ac:dyDescent="0.25"/>
    <row r="2" spans="1:16" ht="49.5" customHeight="1" thickBot="1" x14ac:dyDescent="0.3">
      <c r="A2" s="1267" t="s">
        <v>498</v>
      </c>
      <c r="B2" s="1268"/>
      <c r="C2" s="1268"/>
      <c r="D2" s="1268"/>
      <c r="E2" s="1269"/>
      <c r="F2" s="153"/>
      <c r="G2" s="1229" t="s">
        <v>499</v>
      </c>
      <c r="H2" s="1229"/>
      <c r="I2" s="1229"/>
      <c r="J2" s="1229"/>
      <c r="K2" s="1229"/>
      <c r="L2" s="1229"/>
      <c r="M2" s="1229"/>
      <c r="N2" s="1229"/>
      <c r="O2" s="1229"/>
      <c r="P2" s="1229"/>
    </row>
    <row r="3" spans="1:16" ht="27" customHeight="1" x14ac:dyDescent="0.25">
      <c r="A3" s="1270"/>
      <c r="B3" s="1263" t="s">
        <v>500</v>
      </c>
      <c r="C3" s="1264"/>
      <c r="D3" s="1265" t="s">
        <v>501</v>
      </c>
      <c r="E3" s="1266"/>
      <c r="F3" s="153"/>
      <c r="G3" s="153"/>
      <c r="H3" s="153"/>
      <c r="I3" s="153"/>
      <c r="J3" s="153"/>
      <c r="K3" s="153"/>
      <c r="L3" s="153"/>
      <c r="M3" s="153"/>
      <c r="N3" s="153"/>
    </row>
    <row r="4" spans="1:16" ht="15.95" customHeight="1" thickBot="1" x14ac:dyDescent="0.3">
      <c r="A4" s="1271"/>
      <c r="B4" s="540" t="s">
        <v>12</v>
      </c>
      <c r="C4" s="932" t="s">
        <v>11</v>
      </c>
      <c r="D4" s="936" t="s">
        <v>12</v>
      </c>
      <c r="E4" s="541" t="s">
        <v>11</v>
      </c>
      <c r="F4" s="153"/>
      <c r="G4" s="153"/>
      <c r="H4" s="153"/>
      <c r="I4" s="153"/>
      <c r="J4" s="153"/>
      <c r="K4" s="153"/>
      <c r="L4" s="153"/>
      <c r="M4" s="153"/>
      <c r="N4" s="153"/>
    </row>
    <row r="5" spans="1:16" ht="17.100000000000001" customHeight="1" x14ac:dyDescent="0.25">
      <c r="A5" s="542" t="s">
        <v>113</v>
      </c>
      <c r="B5" s="543">
        <v>3.848194537096961</v>
      </c>
      <c r="C5" s="933">
        <v>2.5039294008333282</v>
      </c>
      <c r="D5" s="543">
        <v>4.0788190406642473</v>
      </c>
      <c r="E5" s="544">
        <v>2.1999330690806942</v>
      </c>
      <c r="F5" s="153"/>
      <c r="G5" s="153"/>
      <c r="H5" s="153"/>
      <c r="I5" s="153"/>
      <c r="J5" s="153"/>
      <c r="K5" s="153"/>
      <c r="L5" s="153"/>
      <c r="M5" s="153"/>
      <c r="N5" s="153"/>
    </row>
    <row r="6" spans="1:16" ht="17.100000000000001" customHeight="1" x14ac:dyDescent="0.25">
      <c r="A6" s="545" t="s">
        <v>114</v>
      </c>
      <c r="B6" s="546">
        <v>1.7609524070355917</v>
      </c>
      <c r="C6" s="934">
        <v>3.8054900643679512</v>
      </c>
      <c r="D6" s="546">
        <v>2.4546482819999991</v>
      </c>
      <c r="E6" s="547">
        <v>4.7145678527768808</v>
      </c>
      <c r="F6" s="153"/>
      <c r="G6" s="153"/>
      <c r="H6" s="153"/>
      <c r="I6" s="153"/>
      <c r="J6" s="153"/>
      <c r="K6" s="153"/>
      <c r="L6" s="153"/>
      <c r="M6" s="153"/>
      <c r="N6" s="153"/>
    </row>
    <row r="7" spans="1:16" ht="17.100000000000001" customHeight="1" x14ac:dyDescent="0.25">
      <c r="A7" s="545" t="s">
        <v>115</v>
      </c>
      <c r="B7" s="546">
        <v>0.48357271272409758</v>
      </c>
      <c r="C7" s="934">
        <v>0.49247919142242069</v>
      </c>
      <c r="D7" s="546">
        <v>0.31755872228850152</v>
      </c>
      <c r="E7" s="547">
        <v>0.33888280420101052</v>
      </c>
      <c r="F7" s="153"/>
      <c r="G7" s="153"/>
      <c r="H7" s="153"/>
      <c r="I7" s="153"/>
      <c r="J7" s="153"/>
      <c r="K7" s="153"/>
      <c r="L7" s="153"/>
      <c r="M7" s="153"/>
      <c r="N7" s="153"/>
    </row>
    <row r="8" spans="1:16" ht="17.100000000000001" customHeight="1" x14ac:dyDescent="0.25">
      <c r="A8" s="545" t="s">
        <v>116</v>
      </c>
      <c r="B8" s="546">
        <v>11.348465345587178</v>
      </c>
      <c r="C8" s="934">
        <v>11.572165640835454</v>
      </c>
      <c r="D8" s="546">
        <v>11.40883027004147</v>
      </c>
      <c r="E8" s="547">
        <v>11.545292775572578</v>
      </c>
      <c r="F8" s="153"/>
      <c r="G8" s="153"/>
      <c r="H8" s="153"/>
      <c r="I8" s="153"/>
      <c r="J8" s="153"/>
      <c r="K8" s="153"/>
      <c r="L8" s="153"/>
      <c r="M8" s="153"/>
      <c r="N8" s="153"/>
    </row>
    <row r="9" spans="1:16" ht="17.100000000000001" customHeight="1" x14ac:dyDescent="0.25">
      <c r="A9" s="545" t="s">
        <v>117</v>
      </c>
      <c r="B9" s="546">
        <v>6.5366316192258695</v>
      </c>
      <c r="C9" s="934">
        <v>5.6116653037335498</v>
      </c>
      <c r="D9" s="546">
        <v>5.7151788522442377</v>
      </c>
      <c r="E9" s="547">
        <v>5.1907886827498144</v>
      </c>
      <c r="F9" s="153"/>
      <c r="G9" s="153"/>
      <c r="H9" s="153"/>
      <c r="I9" s="153"/>
      <c r="J9" s="153"/>
      <c r="K9" s="153"/>
      <c r="L9" s="153"/>
      <c r="M9" s="153"/>
      <c r="N9" s="153"/>
    </row>
    <row r="10" spans="1:16" ht="17.100000000000001" customHeight="1" thickBot="1" x14ac:dyDescent="0.3">
      <c r="A10" s="548" t="s">
        <v>118</v>
      </c>
      <c r="B10" s="549">
        <v>2.218337833029594E-2</v>
      </c>
      <c r="C10" s="935">
        <v>1.4270398807317647E-2</v>
      </c>
      <c r="D10" s="549">
        <v>2.4964832761553403E-2</v>
      </c>
      <c r="E10" s="550">
        <v>1.0534815619036001E-2</v>
      </c>
      <c r="F10" s="153"/>
      <c r="G10" s="153"/>
      <c r="H10" s="153"/>
      <c r="I10" s="153"/>
      <c r="J10" s="153"/>
      <c r="K10" s="153"/>
      <c r="L10" s="153"/>
      <c r="M10" s="153"/>
      <c r="N10" s="153"/>
    </row>
    <row r="11" spans="1:16" ht="39.950000000000003" customHeight="1" x14ac:dyDescent="0.25">
      <c r="A11" s="153"/>
      <c r="B11" s="153"/>
      <c r="C11" s="153"/>
      <c r="D11" s="153"/>
      <c r="E11" s="153"/>
      <c r="F11" s="153"/>
      <c r="G11" s="153"/>
      <c r="H11" s="153"/>
      <c r="I11" s="153"/>
      <c r="J11" s="153"/>
      <c r="K11" s="153"/>
      <c r="L11" s="153"/>
      <c r="M11" s="153"/>
      <c r="N11" s="153"/>
    </row>
    <row r="12" spans="1:16" x14ac:dyDescent="0.25">
      <c r="A12" s="153"/>
      <c r="B12" s="153"/>
      <c r="C12" s="153"/>
      <c r="D12" s="153"/>
      <c r="E12" s="153"/>
      <c r="F12" s="153"/>
      <c r="G12" s="153"/>
      <c r="H12" s="153"/>
      <c r="I12" s="153"/>
      <c r="J12" s="153"/>
      <c r="K12" s="153"/>
      <c r="L12" s="153"/>
      <c r="M12" s="153"/>
      <c r="N12" s="153"/>
    </row>
    <row r="13" spans="1:16" x14ac:dyDescent="0.25">
      <c r="A13" s="153"/>
      <c r="B13" s="153"/>
      <c r="C13" s="153"/>
      <c r="D13" s="153"/>
      <c r="E13" s="153"/>
      <c r="F13" s="153"/>
      <c r="G13" s="153"/>
      <c r="H13" s="153"/>
      <c r="I13" s="153"/>
      <c r="J13" s="153"/>
      <c r="K13" s="153"/>
      <c r="L13" s="153"/>
      <c r="M13" s="153"/>
      <c r="N13" s="153"/>
    </row>
    <row r="14" spans="1:16" x14ac:dyDescent="0.25">
      <c r="F14" s="153"/>
      <c r="G14" s="153"/>
      <c r="H14" s="153"/>
      <c r="I14" s="153"/>
      <c r="J14" s="153"/>
      <c r="K14" s="153"/>
      <c r="L14" s="153"/>
      <c r="M14" s="153"/>
      <c r="N14" s="153"/>
    </row>
    <row r="15" spans="1:16" x14ac:dyDescent="0.25">
      <c r="F15" s="153"/>
      <c r="G15" s="153"/>
      <c r="H15" s="153"/>
      <c r="I15" s="153"/>
      <c r="J15" s="153"/>
      <c r="K15" s="153"/>
      <c r="L15" s="153"/>
      <c r="M15" s="153"/>
      <c r="N15" s="153"/>
    </row>
  </sheetData>
  <mergeCells count="5">
    <mergeCell ref="B3:C3"/>
    <mergeCell ref="D3:E3"/>
    <mergeCell ref="A2:E2"/>
    <mergeCell ref="A3:A4"/>
    <mergeCell ref="G2:P2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H12"/>
  <sheetViews>
    <sheetView zoomScaleNormal="100" workbookViewId="0"/>
  </sheetViews>
  <sheetFormatPr defaultRowHeight="15" x14ac:dyDescent="0.25"/>
  <cols>
    <col min="1" max="1" width="18.7109375" customWidth="1"/>
    <col min="2" max="2" width="11.7109375" customWidth="1"/>
    <col min="3" max="3" width="14.28515625" customWidth="1"/>
    <col min="4" max="4" width="13.5703125" customWidth="1"/>
    <col min="5" max="5" width="14.5703125" customWidth="1"/>
  </cols>
  <sheetData>
    <row r="1" spans="1:8" ht="21" customHeight="1" x14ac:dyDescent="0.25"/>
    <row r="2" spans="1:8" ht="15" customHeight="1" x14ac:dyDescent="0.25">
      <c r="A2" s="1229" t="s">
        <v>497</v>
      </c>
      <c r="B2" s="1229"/>
      <c r="C2" s="1229"/>
      <c r="D2" s="1229"/>
      <c r="E2" s="1229"/>
      <c r="F2" s="1229"/>
      <c r="G2" s="1229"/>
      <c r="H2" s="1229"/>
    </row>
    <row r="3" spans="1:8" ht="20.25" customHeight="1" x14ac:dyDescent="0.25">
      <c r="A3" s="1229"/>
      <c r="B3" s="1229"/>
      <c r="C3" s="1229"/>
      <c r="D3" s="1229"/>
      <c r="E3" s="1229"/>
      <c r="F3" s="1229"/>
      <c r="G3" s="1229"/>
      <c r="H3" s="1229"/>
    </row>
    <row r="4" spans="1:8" ht="15.75" thickBot="1" x14ac:dyDescent="0.3"/>
    <row r="5" spans="1:8" ht="17.25" customHeight="1" x14ac:dyDescent="0.25">
      <c r="A5" s="1053"/>
      <c r="B5" s="1259" t="s">
        <v>194</v>
      </c>
      <c r="C5" s="1260"/>
      <c r="D5" s="1259" t="s">
        <v>195</v>
      </c>
      <c r="E5" s="1261"/>
    </row>
    <row r="6" spans="1:8" ht="15.75" thickBot="1" x14ac:dyDescent="0.3">
      <c r="A6" s="1054"/>
      <c r="B6" s="451" t="s">
        <v>101</v>
      </c>
      <c r="C6" s="928" t="s">
        <v>102</v>
      </c>
      <c r="D6" s="451" t="s">
        <v>101</v>
      </c>
      <c r="E6" s="450" t="s">
        <v>102</v>
      </c>
    </row>
    <row r="7" spans="1:8" ht="17.100000000000001" customHeight="1" x14ac:dyDescent="0.25">
      <c r="A7" s="519" t="s">
        <v>113</v>
      </c>
      <c r="B7" s="520" t="s">
        <v>196</v>
      </c>
      <c r="C7" s="929" t="s">
        <v>197</v>
      </c>
      <c r="D7" s="520" t="s">
        <v>198</v>
      </c>
      <c r="E7" s="521" t="s">
        <v>199</v>
      </c>
    </row>
    <row r="8" spans="1:8" ht="17.100000000000001" customHeight="1" x14ac:dyDescent="0.25">
      <c r="A8" s="522" t="s">
        <v>114</v>
      </c>
      <c r="B8" s="523" t="s">
        <v>200</v>
      </c>
      <c r="C8" s="930" t="s">
        <v>201</v>
      </c>
      <c r="D8" s="523" t="s">
        <v>202</v>
      </c>
      <c r="E8" s="524" t="s">
        <v>203</v>
      </c>
    </row>
    <row r="9" spans="1:8" ht="17.100000000000001" customHeight="1" x14ac:dyDescent="0.25">
      <c r="A9" s="522" t="s">
        <v>115</v>
      </c>
      <c r="B9" s="523" t="s">
        <v>204</v>
      </c>
      <c r="C9" s="930" t="s">
        <v>205</v>
      </c>
      <c r="D9" s="523" t="s">
        <v>206</v>
      </c>
      <c r="E9" s="524" t="s">
        <v>144</v>
      </c>
    </row>
    <row r="10" spans="1:8" ht="17.100000000000001" customHeight="1" x14ac:dyDescent="0.25">
      <c r="A10" s="522" t="s">
        <v>116</v>
      </c>
      <c r="B10" s="523" t="s">
        <v>149</v>
      </c>
      <c r="C10" s="930" t="s">
        <v>149</v>
      </c>
      <c r="D10" s="523" t="s">
        <v>149</v>
      </c>
      <c r="E10" s="524" t="s">
        <v>149</v>
      </c>
    </row>
    <row r="11" spans="1:8" ht="17.100000000000001" customHeight="1" x14ac:dyDescent="0.25">
      <c r="A11" s="522" t="s">
        <v>117</v>
      </c>
      <c r="B11" s="523" t="s">
        <v>188</v>
      </c>
      <c r="C11" s="930" t="s">
        <v>157</v>
      </c>
      <c r="D11" s="523" t="s">
        <v>189</v>
      </c>
      <c r="E11" s="524" t="s">
        <v>157</v>
      </c>
    </row>
    <row r="12" spans="1:8" ht="17.100000000000001" customHeight="1" thickBot="1" x14ac:dyDescent="0.3">
      <c r="A12" s="525" t="s">
        <v>118</v>
      </c>
      <c r="B12" s="517" t="s">
        <v>158</v>
      </c>
      <c r="C12" s="931" t="s">
        <v>159</v>
      </c>
      <c r="D12" s="517" t="s">
        <v>207</v>
      </c>
      <c r="E12" s="518" t="s">
        <v>208</v>
      </c>
    </row>
  </sheetData>
  <mergeCells count="3">
    <mergeCell ref="B5:C5"/>
    <mergeCell ref="D5:E5"/>
    <mergeCell ref="A2:H3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23"/>
  <sheetViews>
    <sheetView topLeftCell="A11" zoomScaleNormal="100" workbookViewId="0">
      <selection activeCell="I11" sqref="I11"/>
    </sheetView>
  </sheetViews>
  <sheetFormatPr defaultRowHeight="15" x14ac:dyDescent="0.25"/>
  <cols>
    <col min="1" max="1" width="20.28515625" customWidth="1"/>
    <col min="2" max="2" width="14.42578125" customWidth="1"/>
    <col min="3" max="3" width="14" customWidth="1"/>
    <col min="4" max="4" width="12.42578125" customWidth="1"/>
    <col min="5" max="5" width="12" customWidth="1"/>
    <col min="6" max="7" width="13.7109375" customWidth="1"/>
    <col min="10" max="10" width="16.7109375" bestFit="1" customWidth="1"/>
  </cols>
  <sheetData>
    <row r="1" spans="1:18" ht="54.95" hidden="1" customHeight="1" x14ac:dyDescent="0.25">
      <c r="A1" s="1272" t="s">
        <v>310</v>
      </c>
      <c r="B1" s="1272"/>
      <c r="C1" s="1272"/>
      <c r="D1" s="1272"/>
      <c r="E1" s="1272"/>
      <c r="F1" s="1272"/>
      <c r="G1" s="1272"/>
    </row>
    <row r="2" spans="1:18" ht="15.95" hidden="1" customHeight="1" x14ac:dyDescent="0.25">
      <c r="A2" s="1288"/>
      <c r="B2" s="1286" t="s">
        <v>210</v>
      </c>
      <c r="C2" s="1287"/>
      <c r="D2" s="1283" t="s">
        <v>209</v>
      </c>
      <c r="E2" s="1285"/>
      <c r="F2" s="1283" t="s">
        <v>211</v>
      </c>
      <c r="G2" s="1284"/>
    </row>
    <row r="3" spans="1:18" ht="15.95" hidden="1" customHeight="1" x14ac:dyDescent="0.25">
      <c r="A3" s="1289"/>
      <c r="B3" s="2" t="s">
        <v>12</v>
      </c>
      <c r="C3" s="3" t="s">
        <v>11</v>
      </c>
      <c r="D3" s="4" t="s">
        <v>12</v>
      </c>
      <c r="E3" s="3" t="s">
        <v>11</v>
      </c>
      <c r="F3" s="4" t="s">
        <v>12</v>
      </c>
      <c r="G3" s="5" t="s">
        <v>11</v>
      </c>
    </row>
    <row r="4" spans="1:18" ht="30" hidden="1" customHeight="1" x14ac:dyDescent="0.25">
      <c r="A4" t="s">
        <v>113</v>
      </c>
      <c r="B4" s="6">
        <v>141.75528162301029</v>
      </c>
      <c r="C4" s="7">
        <v>45.094122671614009</v>
      </c>
      <c r="D4" s="8">
        <v>257.50401751387886</v>
      </c>
      <c r="E4" s="7">
        <v>155.64902272353305</v>
      </c>
      <c r="F4" s="8">
        <v>267.16407166385432</v>
      </c>
      <c r="G4" s="9">
        <v>228.75601974213097</v>
      </c>
      <c r="I4" s="42"/>
      <c r="J4" s="42" t="e">
        <f>Д4-Е4</f>
        <v>#NAME?</v>
      </c>
      <c r="K4" s="42"/>
      <c r="L4" s="42" t="e">
        <f>Ф4-Г4</f>
        <v>#NAME?</v>
      </c>
      <c r="M4" s="42"/>
      <c r="N4" s="42"/>
      <c r="O4" s="42"/>
      <c r="P4" s="42"/>
    </row>
    <row r="5" spans="1:18" ht="30" hidden="1" customHeight="1" x14ac:dyDescent="0.25">
      <c r="A5" t="s">
        <v>114</v>
      </c>
      <c r="B5" s="10">
        <v>123.09968992218153</v>
      </c>
      <c r="C5" s="11">
        <v>254.66122254445597</v>
      </c>
      <c r="D5" s="12">
        <v>128.0348904806099</v>
      </c>
      <c r="E5" s="11">
        <v>261.25721522537896</v>
      </c>
      <c r="F5" s="12">
        <v>106.58967945233957</v>
      </c>
      <c r="G5" s="13">
        <v>214.98954659491383</v>
      </c>
      <c r="I5" s="43"/>
      <c r="J5" s="43" t="e">
        <f>Е5/Д5</f>
        <v>#NAME?</v>
      </c>
      <c r="K5" s="43"/>
      <c r="L5" s="43" t="e">
        <f>Г5/Ф5</f>
        <v>#NAME?</v>
      </c>
    </row>
    <row r="6" spans="1:18" ht="17.100000000000001" hidden="1" customHeight="1" x14ac:dyDescent="0.25">
      <c r="A6" t="s">
        <v>115</v>
      </c>
      <c r="B6" s="44">
        <v>67.658389076513402</v>
      </c>
      <c r="C6" s="45">
        <v>39.740681346354847</v>
      </c>
      <c r="D6" s="46">
        <v>14.043881544531585</v>
      </c>
      <c r="E6" s="45">
        <v>25.729040274959559</v>
      </c>
      <c r="F6" s="46">
        <v>15.872296612203741</v>
      </c>
      <c r="G6" s="47">
        <v>11.017720745530598</v>
      </c>
      <c r="I6" s="42"/>
      <c r="J6" s="42" t="e">
        <f>Е6/Д6</f>
        <v>#NAME?</v>
      </c>
      <c r="K6" s="42"/>
      <c r="L6" s="42" t="e">
        <f>Г6/Ф6</f>
        <v>#NAME?</v>
      </c>
    </row>
    <row r="7" spans="1:18" ht="30" hidden="1" customHeight="1" x14ac:dyDescent="0.25">
      <c r="A7" t="s">
        <v>116</v>
      </c>
      <c r="B7" s="10">
        <v>700.64698858141196</v>
      </c>
      <c r="C7" s="11">
        <v>730.78294440477089</v>
      </c>
      <c r="D7" s="12">
        <v>679.46360883893271</v>
      </c>
      <c r="E7" s="11">
        <v>689.05322473196156</v>
      </c>
      <c r="F7" s="12">
        <v>673.10332551617887</v>
      </c>
      <c r="G7" s="13">
        <v>661.50765681545454</v>
      </c>
      <c r="I7" s="42"/>
      <c r="J7" s="42" t="e">
        <f>Е7/Д7</f>
        <v>#NAME?</v>
      </c>
      <c r="K7" s="42"/>
      <c r="L7" s="42" t="e">
        <f>Г7/Ф7</f>
        <v>#NAME?</v>
      </c>
    </row>
    <row r="8" spans="1:18" ht="30" hidden="1" customHeight="1" x14ac:dyDescent="0.25">
      <c r="A8" s="40" t="s">
        <v>168</v>
      </c>
      <c r="B8" s="44">
        <v>405.02481962977708</v>
      </c>
      <c r="C8" s="45">
        <v>368.84955806082093</v>
      </c>
      <c r="D8" s="46">
        <v>359.8269006553154</v>
      </c>
      <c r="E8" s="45">
        <v>307.38906198315283</v>
      </c>
      <c r="F8" s="46">
        <v>375.37479042570158</v>
      </c>
      <c r="G8" s="47">
        <v>323.41316131395814</v>
      </c>
      <c r="H8" s="40"/>
      <c r="I8" s="43"/>
      <c r="J8" s="43" t="e">
        <f>Е8/Д8</f>
        <v>#NAME?</v>
      </c>
      <c r="K8" s="43"/>
      <c r="L8" s="43" t="e">
        <f>Г8/Ф8</f>
        <v>#NAME?</v>
      </c>
    </row>
    <row r="9" spans="1:18" ht="30" hidden="1" customHeight="1" x14ac:dyDescent="0.25">
      <c r="A9" s="40" t="s">
        <v>118</v>
      </c>
      <c r="B9" s="14">
        <v>1.8148311671058646</v>
      </c>
      <c r="C9" s="15">
        <v>0.87147097198274592</v>
      </c>
      <c r="D9" s="16">
        <v>1.1267009667309245</v>
      </c>
      <c r="E9" s="15">
        <v>0.92243506101384698</v>
      </c>
      <c r="F9" s="16">
        <v>1.8958363297224283</v>
      </c>
      <c r="G9" s="17">
        <v>0.31589478801090687</v>
      </c>
      <c r="I9" s="42"/>
      <c r="J9" s="42" t="e">
        <f>Е9/Д9</f>
        <v>#NAME?</v>
      </c>
      <c r="K9" s="42"/>
      <c r="L9" s="42" t="e">
        <f>Г9/Ф9</f>
        <v>#NAME?</v>
      </c>
    </row>
    <row r="10" spans="1:18" ht="24.95" hidden="1" customHeight="1" x14ac:dyDescent="0.25">
      <c r="A10" s="1273" t="s">
        <v>311</v>
      </c>
      <c r="B10" s="1273"/>
      <c r="C10" s="1273"/>
      <c r="D10" s="1273"/>
      <c r="E10" s="1273"/>
      <c r="F10" s="1273"/>
      <c r="G10" s="1273"/>
    </row>
    <row r="11" spans="1:18" ht="24.95" customHeight="1" x14ac:dyDescent="0.25">
      <c r="A11" s="416"/>
      <c r="B11" s="416"/>
      <c r="C11" s="416"/>
      <c r="D11" s="416"/>
      <c r="E11" s="416"/>
      <c r="F11" s="416"/>
      <c r="G11" s="416"/>
    </row>
    <row r="12" spans="1:18" ht="34.5" customHeight="1" thickBot="1" x14ac:dyDescent="0.3">
      <c r="A12" s="1274" t="s">
        <v>494</v>
      </c>
      <c r="B12" s="1274"/>
      <c r="C12" s="1274"/>
      <c r="D12" s="1274"/>
      <c r="E12" s="1274"/>
      <c r="F12" s="1274"/>
      <c r="G12" s="1274"/>
      <c r="I12" s="1229" t="s">
        <v>495</v>
      </c>
      <c r="J12" s="1229"/>
      <c r="K12" s="1229"/>
      <c r="L12" s="1229"/>
      <c r="M12" s="1229"/>
      <c r="N12" s="1229"/>
      <c r="O12" s="1229"/>
      <c r="P12" s="1229"/>
      <c r="Q12" s="1229"/>
      <c r="R12" s="1229"/>
    </row>
    <row r="13" spans="1:18" x14ac:dyDescent="0.25">
      <c r="A13" s="1275"/>
      <c r="B13" s="1277" t="s">
        <v>210</v>
      </c>
      <c r="C13" s="1278"/>
      <c r="D13" s="1279" t="s">
        <v>209</v>
      </c>
      <c r="E13" s="1280"/>
      <c r="F13" s="1281" t="s">
        <v>211</v>
      </c>
      <c r="G13" s="1282"/>
    </row>
    <row r="14" spans="1:18" ht="15.75" thickBot="1" x14ac:dyDescent="0.3">
      <c r="A14" s="1276"/>
      <c r="B14" s="559" t="s">
        <v>12</v>
      </c>
      <c r="C14" s="918" t="s">
        <v>11</v>
      </c>
      <c r="D14" s="926" t="s">
        <v>12</v>
      </c>
      <c r="E14" s="927" t="s">
        <v>11</v>
      </c>
      <c r="F14" s="922" t="s">
        <v>12</v>
      </c>
      <c r="G14" s="560" t="s">
        <v>11</v>
      </c>
    </row>
    <row r="15" spans="1:18" x14ac:dyDescent="0.25">
      <c r="A15" s="556" t="s">
        <v>113</v>
      </c>
      <c r="B15" s="557">
        <v>2.3625880270501716</v>
      </c>
      <c r="C15" s="919">
        <v>0.75156871119356683</v>
      </c>
      <c r="D15" s="557">
        <v>4.2917336252313145</v>
      </c>
      <c r="E15" s="558">
        <v>2.5941503787255509</v>
      </c>
      <c r="F15" s="923">
        <v>4.4527345277309056</v>
      </c>
      <c r="G15" s="558">
        <v>3.8126003290355164</v>
      </c>
    </row>
    <row r="16" spans="1:18" x14ac:dyDescent="0.25">
      <c r="A16" s="531" t="s">
        <v>114</v>
      </c>
      <c r="B16" s="551">
        <v>2.0516614987030253</v>
      </c>
      <c r="C16" s="920">
        <v>4.2443537090742662</v>
      </c>
      <c r="D16" s="551">
        <v>2.1339148413434983</v>
      </c>
      <c r="E16" s="552">
        <v>4.3542869204229824</v>
      </c>
      <c r="F16" s="924">
        <v>1.7764946575389928</v>
      </c>
      <c r="G16" s="552">
        <v>3.5831591099152305</v>
      </c>
    </row>
    <row r="17" spans="1:7" x14ac:dyDescent="0.25">
      <c r="A17" s="531" t="s">
        <v>115</v>
      </c>
      <c r="B17" s="551">
        <v>1.1276398179418901</v>
      </c>
      <c r="C17" s="920">
        <v>0.66234468910591415</v>
      </c>
      <c r="D17" s="551">
        <v>0.23406469240885974</v>
      </c>
      <c r="E17" s="552">
        <v>0.42881733791599264</v>
      </c>
      <c r="F17" s="924">
        <v>0.26453827687006232</v>
      </c>
      <c r="G17" s="552">
        <v>0.18362867909217664</v>
      </c>
    </row>
    <row r="18" spans="1:7" x14ac:dyDescent="0.25">
      <c r="A18" s="531" t="s">
        <v>116</v>
      </c>
      <c r="B18" s="551">
        <v>11.677449809690199</v>
      </c>
      <c r="C18" s="920">
        <v>12.179715740079514</v>
      </c>
      <c r="D18" s="551">
        <v>11.324393480648878</v>
      </c>
      <c r="E18" s="552">
        <v>11.48422041219936</v>
      </c>
      <c r="F18" s="924">
        <v>11.21838875860298</v>
      </c>
      <c r="G18" s="552">
        <v>11.025127613590909</v>
      </c>
    </row>
    <row r="19" spans="1:7" x14ac:dyDescent="0.25">
      <c r="A19" s="531" t="s">
        <v>117</v>
      </c>
      <c r="B19" s="551">
        <v>6.7504136604962843</v>
      </c>
      <c r="C19" s="920">
        <v>6.1474926343470155</v>
      </c>
      <c r="D19" s="551">
        <v>5.9971150109219229</v>
      </c>
      <c r="E19" s="552">
        <v>5.1231510330525474</v>
      </c>
      <c r="F19" s="924">
        <v>6.2562465070950264</v>
      </c>
      <c r="G19" s="552">
        <v>5.3902193552326354</v>
      </c>
    </row>
    <row r="20" spans="1:7" ht="15.75" thickBot="1" x14ac:dyDescent="0.3">
      <c r="A20" s="553" t="s">
        <v>118</v>
      </c>
      <c r="B20" s="554">
        <v>3.0247186118431076E-2</v>
      </c>
      <c r="C20" s="921">
        <v>1.4524516199712432E-2</v>
      </c>
      <c r="D20" s="554">
        <v>1.8778349445515409E-2</v>
      </c>
      <c r="E20" s="555">
        <v>1.5373917683564116E-2</v>
      </c>
      <c r="F20" s="925">
        <v>3.1597272162040474E-2</v>
      </c>
      <c r="G20" s="555">
        <v>5.2649131335151143E-3</v>
      </c>
    </row>
    <row r="23" spans="1:7" ht="28.5" customHeight="1" x14ac:dyDescent="0.25"/>
  </sheetData>
  <mergeCells count="12">
    <mergeCell ref="I12:R12"/>
    <mergeCell ref="F2:G2"/>
    <mergeCell ref="D2:E2"/>
    <mergeCell ref="B2:C2"/>
    <mergeCell ref="A2:A3"/>
    <mergeCell ref="A1:G1"/>
    <mergeCell ref="A10:G10"/>
    <mergeCell ref="A12:G12"/>
    <mergeCell ref="A13:A14"/>
    <mergeCell ref="B13:C13"/>
    <mergeCell ref="D13:E13"/>
    <mergeCell ref="F13:G13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M742"/>
  <sheetViews>
    <sheetView zoomScaleNormal="100" workbookViewId="0"/>
  </sheetViews>
  <sheetFormatPr defaultRowHeight="15" x14ac:dyDescent="0.25"/>
  <cols>
    <col min="1" max="1" width="19.140625" customWidth="1"/>
    <col min="2" max="2" width="10.7109375" customWidth="1"/>
    <col min="3" max="3" width="13.5703125" customWidth="1"/>
    <col min="4" max="4" width="11.28515625" customWidth="1"/>
    <col min="5" max="5" width="10.42578125" customWidth="1"/>
    <col min="6" max="6" width="14.85546875" customWidth="1"/>
    <col min="7" max="7" width="12" customWidth="1"/>
    <col min="8" max="8" width="11" customWidth="1"/>
    <col min="9" max="9" width="13.5703125" customWidth="1"/>
    <col min="10" max="10" width="10.85546875" customWidth="1"/>
    <col min="11" max="11" width="11.140625" customWidth="1"/>
    <col min="12" max="12" width="14.42578125" customWidth="1"/>
    <col min="13" max="13" width="13.42578125" customWidth="1"/>
  </cols>
  <sheetData>
    <row r="1" spans="1:13" ht="20.25" customHeight="1" x14ac:dyDescent="0.25"/>
    <row r="2" spans="1:13" ht="34.5" customHeight="1" thickBot="1" x14ac:dyDescent="0.3">
      <c r="A2" s="1290" t="s">
        <v>496</v>
      </c>
      <c r="B2" s="1291"/>
      <c r="C2" s="1291"/>
      <c r="D2" s="1291"/>
      <c r="E2" s="1291"/>
      <c r="F2" s="1291"/>
      <c r="G2" s="1291"/>
      <c r="H2" s="1291"/>
      <c r="I2" s="1291"/>
      <c r="J2" s="1291"/>
      <c r="K2" s="1291"/>
      <c r="L2" s="1291"/>
      <c r="M2" s="1291"/>
    </row>
    <row r="3" spans="1:13" ht="15.95" customHeight="1" x14ac:dyDescent="0.25">
      <c r="A3" s="1292"/>
      <c r="B3" s="1294" t="s">
        <v>210</v>
      </c>
      <c r="C3" s="1295"/>
      <c r="D3" s="1296"/>
      <c r="E3" s="1297" t="s">
        <v>209</v>
      </c>
      <c r="F3" s="1295"/>
      <c r="G3" s="1298"/>
      <c r="H3" s="1299" t="s">
        <v>211</v>
      </c>
      <c r="I3" s="1295"/>
      <c r="J3" s="1296"/>
      <c r="K3" s="1297" t="s">
        <v>83</v>
      </c>
      <c r="L3" s="1295"/>
      <c r="M3" s="1296"/>
    </row>
    <row r="4" spans="1:13" ht="15.95" customHeight="1" thickBot="1" x14ac:dyDescent="0.3">
      <c r="A4" s="1293"/>
      <c r="B4" s="906" t="s">
        <v>101</v>
      </c>
      <c r="C4" s="447" t="s">
        <v>102</v>
      </c>
      <c r="D4" s="561" t="s">
        <v>103</v>
      </c>
      <c r="E4" s="902" t="s">
        <v>101</v>
      </c>
      <c r="F4" s="447" t="s">
        <v>102</v>
      </c>
      <c r="G4" s="910" t="s">
        <v>103</v>
      </c>
      <c r="H4" s="914" t="s">
        <v>101</v>
      </c>
      <c r="I4" s="447" t="s">
        <v>102</v>
      </c>
      <c r="J4" s="561" t="s">
        <v>103</v>
      </c>
      <c r="K4" s="902" t="s">
        <v>101</v>
      </c>
      <c r="L4" s="447" t="s">
        <v>102</v>
      </c>
      <c r="M4" s="561" t="s">
        <v>103</v>
      </c>
    </row>
    <row r="5" spans="1:13" ht="17.100000000000001" customHeight="1" x14ac:dyDescent="0.25">
      <c r="A5" s="899" t="s">
        <v>113</v>
      </c>
      <c r="B5" s="907">
        <v>13.946594046134882</v>
      </c>
      <c r="C5" s="562">
        <v>32.52670828992953</v>
      </c>
      <c r="D5" s="563">
        <v>21.552654193118041</v>
      </c>
      <c r="E5" s="903">
        <v>34.278564981554503</v>
      </c>
      <c r="F5" s="562">
        <v>51.756528361258653</v>
      </c>
      <c r="G5" s="911">
        <v>43.569776315143429</v>
      </c>
      <c r="H5" s="915">
        <v>50.7813647453575</v>
      </c>
      <c r="I5" s="562">
        <v>53.950510618269099</v>
      </c>
      <c r="J5" s="563">
        <v>52.137247700338868</v>
      </c>
      <c r="K5" s="903">
        <v>32.705974824621535</v>
      </c>
      <c r="L5" s="562">
        <v>48.409508382370731</v>
      </c>
      <c r="M5" s="563">
        <v>40.278143566876523</v>
      </c>
    </row>
    <row r="6" spans="1:13" ht="17.100000000000001" customHeight="1" x14ac:dyDescent="0.25">
      <c r="A6" s="900" t="s">
        <v>114</v>
      </c>
      <c r="B6" s="908">
        <v>89.942742096115509</v>
      </c>
      <c r="C6" s="564">
        <v>72.379394226251634</v>
      </c>
      <c r="D6" s="565">
        <v>82.752911154942069</v>
      </c>
      <c r="E6" s="904">
        <v>94.723749047609445</v>
      </c>
      <c r="F6" s="564">
        <v>78.360298869126964</v>
      </c>
      <c r="G6" s="912">
        <v>86.02500821310916</v>
      </c>
      <c r="H6" s="916">
        <v>94.021414945760583</v>
      </c>
      <c r="I6" s="564">
        <v>77.238495137197901</v>
      </c>
      <c r="J6" s="565">
        <v>86.841033916993979</v>
      </c>
      <c r="K6" s="904">
        <v>93.312285727022811</v>
      </c>
      <c r="L6" s="564">
        <v>76.990014345254437</v>
      </c>
      <c r="M6" s="565">
        <v>85.441764566602913</v>
      </c>
    </row>
    <row r="7" spans="1:13" ht="17.100000000000001" customHeight="1" x14ac:dyDescent="0.25">
      <c r="A7" s="900" t="s">
        <v>115</v>
      </c>
      <c r="B7" s="908">
        <v>10.481872008998508</v>
      </c>
      <c r="C7" s="564">
        <v>18.19810778197456</v>
      </c>
      <c r="D7" s="565">
        <v>13.640633716675309</v>
      </c>
      <c r="E7" s="904">
        <v>8.70030925930892</v>
      </c>
      <c r="F7" s="564">
        <v>4.7829601284735315</v>
      </c>
      <c r="G7" s="912">
        <v>6.6178630468224551</v>
      </c>
      <c r="H7" s="916">
        <v>5.1824174112308263</v>
      </c>
      <c r="I7" s="564">
        <v>4.4123608679282</v>
      </c>
      <c r="J7" s="565">
        <v>4.8529574925945758</v>
      </c>
      <c r="K7" s="904">
        <v>8.367184082511324</v>
      </c>
      <c r="L7" s="564">
        <v>7.3296249850999073</v>
      </c>
      <c r="M7" s="565">
        <v>7.866878050319964</v>
      </c>
    </row>
    <row r="8" spans="1:13" ht="17.100000000000001" customHeight="1" x14ac:dyDescent="0.25">
      <c r="A8" s="900" t="s">
        <v>116</v>
      </c>
      <c r="B8" s="908">
        <v>100</v>
      </c>
      <c r="C8" s="564">
        <v>100</v>
      </c>
      <c r="D8" s="565">
        <v>100</v>
      </c>
      <c r="E8" s="904">
        <v>100</v>
      </c>
      <c r="F8" s="564">
        <v>100</v>
      </c>
      <c r="G8" s="912">
        <v>100</v>
      </c>
      <c r="H8" s="916">
        <v>100</v>
      </c>
      <c r="I8" s="564">
        <v>100</v>
      </c>
      <c r="J8" s="565">
        <v>100</v>
      </c>
      <c r="K8" s="904">
        <v>100</v>
      </c>
      <c r="L8" s="564">
        <v>100</v>
      </c>
      <c r="M8" s="565">
        <v>100</v>
      </c>
    </row>
    <row r="9" spans="1:13" ht="17.100000000000001" customHeight="1" x14ac:dyDescent="0.25">
      <c r="A9" s="900" t="s">
        <v>117</v>
      </c>
      <c r="B9" s="908">
        <v>99.367160834347231</v>
      </c>
      <c r="C9" s="564">
        <v>100</v>
      </c>
      <c r="D9" s="565">
        <v>99.62622343720119</v>
      </c>
      <c r="E9" s="904">
        <v>98.889746376040293</v>
      </c>
      <c r="F9" s="564">
        <v>98.685599227225993</v>
      </c>
      <c r="G9" s="912">
        <v>98.781222616058656</v>
      </c>
      <c r="H9" s="916">
        <v>98.743256531037872</v>
      </c>
      <c r="I9" s="564">
        <v>99.368325305785007</v>
      </c>
      <c r="J9" s="565">
        <v>99.010685084773755</v>
      </c>
      <c r="K9" s="904">
        <v>98.981453019213816</v>
      </c>
      <c r="L9" s="564">
        <v>99.066352047464818</v>
      </c>
      <c r="M9" s="565">
        <v>99.022390924406182</v>
      </c>
    </row>
    <row r="10" spans="1:13" ht="17.100000000000001" customHeight="1" thickBot="1" x14ac:dyDescent="0.3">
      <c r="A10" s="901" t="s">
        <v>118</v>
      </c>
      <c r="B10" s="909">
        <v>3.0043667918577217</v>
      </c>
      <c r="C10" s="566">
        <v>3.9196728713344409</v>
      </c>
      <c r="D10" s="567">
        <v>3.3790616404496348</v>
      </c>
      <c r="E10" s="905">
        <v>3.1829192772339594</v>
      </c>
      <c r="F10" s="566">
        <v>3.8204911708832174</v>
      </c>
      <c r="G10" s="913">
        <v>3.521849796514652</v>
      </c>
      <c r="H10" s="917">
        <v>1.2929481971828265</v>
      </c>
      <c r="I10" s="566">
        <v>5.1513739257185032</v>
      </c>
      <c r="J10" s="567">
        <v>2.9437316852828741</v>
      </c>
      <c r="K10" s="905">
        <v>2.7065882201875042</v>
      </c>
      <c r="L10" s="566">
        <v>4.0827226717946834</v>
      </c>
      <c r="M10" s="567">
        <v>3.3701536681346074</v>
      </c>
    </row>
    <row r="12" spans="1:13" ht="21" customHeight="1" x14ac:dyDescent="0.25"/>
    <row r="13" spans="1:13" ht="15.95" customHeight="1" x14ac:dyDescent="0.25"/>
    <row r="14" spans="1:13" ht="15.95" customHeight="1" x14ac:dyDescent="0.25"/>
    <row r="15" spans="1:13" ht="17.100000000000001" customHeight="1" x14ac:dyDescent="0.25"/>
    <row r="16" spans="1:13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20" ht="17.100000000000001" customHeight="1" x14ac:dyDescent="0.25"/>
    <row r="21" ht="17.100000000000001" customHeight="1" x14ac:dyDescent="0.25"/>
    <row r="22" ht="24.95" customHeight="1" x14ac:dyDescent="0.25"/>
    <row r="24" ht="21" customHeight="1" x14ac:dyDescent="0.25"/>
    <row r="25" ht="15.95" customHeight="1" x14ac:dyDescent="0.25"/>
    <row r="26" ht="15.95" customHeight="1" x14ac:dyDescent="0.25"/>
    <row r="27" ht="17.100000000000001" customHeight="1" x14ac:dyDescent="0.25"/>
    <row r="28" ht="17.100000000000001" customHeight="1" x14ac:dyDescent="0.25"/>
    <row r="29" ht="17.100000000000001" customHeight="1" x14ac:dyDescent="0.25"/>
    <row r="30" ht="17.100000000000001" customHeight="1" x14ac:dyDescent="0.25"/>
    <row r="31" ht="17.100000000000001" customHeight="1" x14ac:dyDescent="0.25"/>
    <row r="32" ht="17.100000000000001" customHeight="1" x14ac:dyDescent="0.25"/>
    <row r="33" ht="17.100000000000001" customHeight="1" x14ac:dyDescent="0.25"/>
    <row r="34" ht="24.95" customHeight="1" x14ac:dyDescent="0.25"/>
    <row r="36" ht="21" customHeight="1" x14ac:dyDescent="0.25"/>
    <row r="37" ht="15.95" customHeight="1" x14ac:dyDescent="0.25"/>
    <row r="38" ht="15.95" customHeight="1" x14ac:dyDescent="0.25"/>
    <row r="39" ht="17.100000000000001" customHeight="1" x14ac:dyDescent="0.25"/>
    <row r="40" ht="17.100000000000001" customHeight="1" x14ac:dyDescent="0.25"/>
    <row r="41" ht="17.100000000000001" customHeight="1" x14ac:dyDescent="0.25"/>
    <row r="42" ht="17.100000000000001" customHeight="1" x14ac:dyDescent="0.25"/>
    <row r="43" ht="17.100000000000001" customHeight="1" x14ac:dyDescent="0.25"/>
    <row r="44" ht="17.100000000000001" customHeight="1" x14ac:dyDescent="0.25"/>
    <row r="45" ht="17.100000000000001" customHeight="1" x14ac:dyDescent="0.25"/>
    <row r="46" ht="24.95" customHeight="1" x14ac:dyDescent="0.25"/>
    <row r="48" ht="21" customHeight="1" x14ac:dyDescent="0.25"/>
    <row r="49" ht="15.95" customHeight="1" x14ac:dyDescent="0.25"/>
    <row r="50" ht="15.95" customHeight="1" x14ac:dyDescent="0.25"/>
    <row r="51" ht="17.100000000000001" customHeight="1" x14ac:dyDescent="0.25"/>
    <row r="52" ht="17.100000000000001" customHeight="1" x14ac:dyDescent="0.25"/>
    <row r="53" ht="17.100000000000001" customHeight="1" x14ac:dyDescent="0.25"/>
    <row r="54" ht="17.100000000000001" customHeight="1" x14ac:dyDescent="0.25"/>
    <row r="55" ht="17.100000000000001" customHeight="1" x14ac:dyDescent="0.25"/>
    <row r="56" ht="17.100000000000001" customHeight="1" x14ac:dyDescent="0.25"/>
    <row r="57" ht="17.100000000000001" customHeight="1" x14ac:dyDescent="0.25"/>
    <row r="58" ht="17.100000000000001" customHeight="1" x14ac:dyDescent="0.25"/>
    <row r="59" ht="17.100000000000001" customHeight="1" x14ac:dyDescent="0.25"/>
    <row r="60" ht="17.100000000000001" customHeight="1" x14ac:dyDescent="0.25"/>
    <row r="61" ht="17.100000000000001" customHeight="1" x14ac:dyDescent="0.25"/>
    <row r="62" ht="17.100000000000001" customHeight="1" x14ac:dyDescent="0.25"/>
    <row r="63" ht="17.100000000000001" customHeight="1" x14ac:dyDescent="0.25"/>
    <row r="64" ht="17.100000000000001" customHeight="1" x14ac:dyDescent="0.25"/>
    <row r="65" ht="17.100000000000001" customHeight="1" x14ac:dyDescent="0.25"/>
    <row r="66" ht="17.100000000000001" customHeight="1" x14ac:dyDescent="0.25"/>
    <row r="67" ht="17.100000000000001" customHeight="1" x14ac:dyDescent="0.25"/>
    <row r="68" ht="17.100000000000001" customHeight="1" x14ac:dyDescent="0.25"/>
    <row r="69" ht="17.100000000000001" customHeight="1" x14ac:dyDescent="0.25"/>
    <row r="70" ht="17.100000000000001" customHeight="1" x14ac:dyDescent="0.25"/>
    <row r="71" ht="17.100000000000001" customHeight="1" x14ac:dyDescent="0.25"/>
    <row r="72" ht="17.100000000000001" customHeight="1" x14ac:dyDescent="0.25"/>
    <row r="73" ht="17.100000000000001" customHeight="1" x14ac:dyDescent="0.25"/>
    <row r="74" ht="17.100000000000001" customHeight="1" x14ac:dyDescent="0.25"/>
    <row r="75" ht="17.100000000000001" customHeight="1" x14ac:dyDescent="0.25"/>
    <row r="76" ht="17.100000000000001" customHeight="1" x14ac:dyDescent="0.25"/>
    <row r="77" ht="17.100000000000001" customHeight="1" x14ac:dyDescent="0.25"/>
    <row r="78" ht="17.100000000000001" customHeight="1" x14ac:dyDescent="0.25"/>
    <row r="79" ht="17.100000000000001" customHeight="1" x14ac:dyDescent="0.25"/>
    <row r="80" ht="17.100000000000001" customHeight="1" x14ac:dyDescent="0.25"/>
    <row r="81" ht="17.100000000000001" customHeight="1" x14ac:dyDescent="0.25"/>
    <row r="82" ht="17.100000000000001" customHeight="1" x14ac:dyDescent="0.25"/>
    <row r="83" ht="17.100000000000001" customHeight="1" x14ac:dyDescent="0.25"/>
    <row r="84" ht="17.100000000000001" customHeight="1" x14ac:dyDescent="0.25"/>
    <row r="85" ht="17.100000000000001" customHeight="1" x14ac:dyDescent="0.25"/>
    <row r="86" ht="17.100000000000001" customHeight="1" x14ac:dyDescent="0.25"/>
    <row r="87" ht="17.100000000000001" customHeight="1" x14ac:dyDescent="0.25"/>
    <row r="88" ht="17.100000000000001" customHeight="1" x14ac:dyDescent="0.25"/>
    <row r="89" ht="17.100000000000001" customHeight="1" x14ac:dyDescent="0.25"/>
    <row r="90" ht="17.100000000000001" customHeight="1" x14ac:dyDescent="0.25"/>
    <row r="91" ht="17.100000000000001" customHeight="1" x14ac:dyDescent="0.25"/>
    <row r="92" ht="30" customHeight="1" x14ac:dyDescent="0.25"/>
    <row r="93" ht="17.100000000000001" customHeight="1" x14ac:dyDescent="0.25"/>
    <row r="94" ht="30" customHeight="1" x14ac:dyDescent="0.25"/>
    <row r="95" ht="17.100000000000001" customHeight="1" x14ac:dyDescent="0.25"/>
    <row r="96" ht="17.100000000000001" customHeight="1" x14ac:dyDescent="0.25"/>
    <row r="97" ht="17.100000000000001" customHeight="1" x14ac:dyDescent="0.25"/>
    <row r="98" ht="24.95" customHeight="1" x14ac:dyDescent="0.25"/>
    <row r="100" ht="21" customHeight="1" x14ac:dyDescent="0.25"/>
    <row r="101" ht="15.95" customHeight="1" x14ac:dyDescent="0.25"/>
    <row r="102" ht="15.95" customHeight="1" x14ac:dyDescent="0.25"/>
    <row r="103" ht="17.100000000000001" customHeight="1" x14ac:dyDescent="0.25"/>
    <row r="104" ht="17.100000000000001" customHeight="1" x14ac:dyDescent="0.25"/>
    <row r="105" ht="17.100000000000001" customHeight="1" x14ac:dyDescent="0.25"/>
    <row r="106" ht="17.100000000000001" customHeight="1" x14ac:dyDescent="0.25"/>
    <row r="107" ht="17.100000000000001" customHeight="1" x14ac:dyDescent="0.25"/>
    <row r="108" ht="17.100000000000001" customHeight="1" x14ac:dyDescent="0.25"/>
    <row r="109" ht="17.100000000000001" customHeight="1" x14ac:dyDescent="0.25"/>
    <row r="110" ht="17.100000000000001" customHeight="1" x14ac:dyDescent="0.25"/>
    <row r="111" ht="17.100000000000001" customHeight="1" x14ac:dyDescent="0.25"/>
    <row r="112" ht="17.100000000000001" customHeight="1" x14ac:dyDescent="0.25"/>
    <row r="113" ht="17.100000000000001" customHeight="1" x14ac:dyDescent="0.25"/>
    <row r="114" ht="17.100000000000001" customHeight="1" x14ac:dyDescent="0.25"/>
    <row r="115" ht="17.100000000000001" customHeight="1" x14ac:dyDescent="0.25"/>
    <row r="116" ht="17.100000000000001" customHeight="1" x14ac:dyDescent="0.25"/>
    <row r="117" ht="17.100000000000001" customHeight="1" x14ac:dyDescent="0.25"/>
    <row r="118" ht="17.100000000000001" customHeight="1" x14ac:dyDescent="0.25"/>
    <row r="119" ht="17.100000000000001" customHeight="1" x14ac:dyDescent="0.25"/>
    <row r="120" ht="17.100000000000001" customHeight="1" x14ac:dyDescent="0.25"/>
    <row r="121" ht="17.100000000000001" customHeight="1" x14ac:dyDescent="0.25"/>
    <row r="122" ht="17.100000000000001" customHeight="1" x14ac:dyDescent="0.25"/>
    <row r="123" ht="17.100000000000001" customHeight="1" x14ac:dyDescent="0.25"/>
    <row r="124" ht="17.100000000000001" customHeight="1" x14ac:dyDescent="0.25"/>
    <row r="125" ht="17.100000000000001" customHeight="1" x14ac:dyDescent="0.25"/>
    <row r="126" ht="17.100000000000001" customHeight="1" x14ac:dyDescent="0.25"/>
    <row r="127" ht="17.100000000000001" customHeight="1" x14ac:dyDescent="0.25"/>
    <row r="128" ht="17.100000000000001" customHeight="1" x14ac:dyDescent="0.25"/>
    <row r="129" ht="17.100000000000001" customHeight="1" x14ac:dyDescent="0.25"/>
    <row r="130" ht="17.100000000000001" customHeight="1" x14ac:dyDescent="0.25"/>
    <row r="131" ht="17.100000000000001" customHeight="1" x14ac:dyDescent="0.25"/>
    <row r="132" ht="17.100000000000001" customHeight="1" x14ac:dyDescent="0.25"/>
    <row r="133" ht="17.100000000000001" customHeight="1" x14ac:dyDescent="0.25"/>
    <row r="134" ht="17.100000000000001" customHeight="1" x14ac:dyDescent="0.25"/>
    <row r="135" ht="17.100000000000001" customHeight="1" x14ac:dyDescent="0.25"/>
    <row r="136" ht="17.100000000000001" customHeight="1" x14ac:dyDescent="0.25"/>
    <row r="137" ht="17.100000000000001" customHeight="1" x14ac:dyDescent="0.25"/>
    <row r="138" ht="17.100000000000001" customHeight="1" x14ac:dyDescent="0.25"/>
    <row r="139" ht="17.100000000000001" customHeight="1" x14ac:dyDescent="0.25"/>
    <row r="140" ht="17.100000000000001" customHeight="1" x14ac:dyDescent="0.25"/>
    <row r="141" ht="17.100000000000001" customHeight="1" x14ac:dyDescent="0.25"/>
    <row r="142" ht="17.100000000000001" customHeight="1" x14ac:dyDescent="0.25"/>
    <row r="143" ht="17.100000000000001" customHeight="1" x14ac:dyDescent="0.25"/>
    <row r="144" ht="30" customHeight="1" x14ac:dyDescent="0.25"/>
    <row r="145" ht="17.100000000000001" customHeight="1" x14ac:dyDescent="0.25"/>
    <row r="146" ht="30" customHeight="1" x14ac:dyDescent="0.25"/>
    <row r="147" ht="17.100000000000001" customHeight="1" x14ac:dyDescent="0.25"/>
    <row r="148" ht="17.100000000000001" customHeight="1" x14ac:dyDescent="0.25"/>
    <row r="149" ht="17.100000000000001" customHeight="1" x14ac:dyDescent="0.25"/>
    <row r="150" ht="24.95" customHeight="1" x14ac:dyDescent="0.25"/>
    <row r="152" ht="21" customHeight="1" x14ac:dyDescent="0.25"/>
    <row r="153" ht="15.95" customHeight="1" x14ac:dyDescent="0.25"/>
    <row r="154" ht="15.95" customHeight="1" x14ac:dyDescent="0.25"/>
    <row r="155" ht="17.100000000000001" customHeight="1" x14ac:dyDescent="0.25"/>
    <row r="156" ht="17.100000000000001" customHeight="1" x14ac:dyDescent="0.25"/>
    <row r="157" ht="17.100000000000001" customHeight="1" x14ac:dyDescent="0.25"/>
    <row r="158" ht="17.100000000000001" customHeight="1" x14ac:dyDescent="0.25"/>
    <row r="159" ht="17.100000000000001" customHeight="1" x14ac:dyDescent="0.25"/>
    <row r="160" ht="17.100000000000001" customHeight="1" x14ac:dyDescent="0.25"/>
    <row r="161" ht="17.100000000000001" customHeight="1" x14ac:dyDescent="0.25"/>
    <row r="162" ht="17.100000000000001" customHeight="1" x14ac:dyDescent="0.25"/>
    <row r="163" ht="17.100000000000001" customHeight="1" x14ac:dyDescent="0.25"/>
    <row r="164" ht="17.100000000000001" customHeight="1" x14ac:dyDescent="0.25"/>
    <row r="165" ht="17.100000000000001" customHeight="1" x14ac:dyDescent="0.25"/>
    <row r="166" ht="17.100000000000001" customHeight="1" x14ac:dyDescent="0.25"/>
    <row r="167" ht="17.100000000000001" customHeight="1" x14ac:dyDescent="0.25"/>
    <row r="168" ht="17.100000000000001" customHeight="1" x14ac:dyDescent="0.25"/>
    <row r="169" ht="17.100000000000001" customHeight="1" x14ac:dyDescent="0.25"/>
    <row r="170" ht="17.100000000000001" customHeight="1" x14ac:dyDescent="0.25"/>
    <row r="171" ht="17.100000000000001" customHeight="1" x14ac:dyDescent="0.25"/>
    <row r="172" ht="17.100000000000001" customHeight="1" x14ac:dyDescent="0.25"/>
    <row r="173" ht="17.100000000000001" customHeight="1" x14ac:dyDescent="0.25"/>
    <row r="174" ht="17.100000000000001" customHeight="1" x14ac:dyDescent="0.25"/>
    <row r="175" ht="17.100000000000001" customHeight="1" x14ac:dyDescent="0.25"/>
    <row r="176" ht="17.100000000000001" customHeight="1" x14ac:dyDescent="0.25"/>
    <row r="177" ht="17.100000000000001" customHeight="1" x14ac:dyDescent="0.25"/>
    <row r="178" ht="17.100000000000001" customHeight="1" x14ac:dyDescent="0.25"/>
    <row r="179" ht="17.100000000000001" customHeight="1" x14ac:dyDescent="0.25"/>
    <row r="180" ht="17.100000000000001" customHeight="1" x14ac:dyDescent="0.25"/>
    <row r="181" ht="17.100000000000001" customHeight="1" x14ac:dyDescent="0.25"/>
    <row r="182" ht="17.100000000000001" customHeight="1" x14ac:dyDescent="0.25"/>
    <row r="183" ht="17.100000000000001" customHeight="1" x14ac:dyDescent="0.25"/>
    <row r="184" ht="17.100000000000001" customHeight="1" x14ac:dyDescent="0.25"/>
    <row r="185" ht="17.100000000000001" customHeight="1" x14ac:dyDescent="0.25"/>
    <row r="186" ht="17.100000000000001" customHeight="1" x14ac:dyDescent="0.25"/>
    <row r="187" ht="17.100000000000001" customHeight="1" x14ac:dyDescent="0.25"/>
    <row r="188" ht="17.100000000000001" customHeight="1" x14ac:dyDescent="0.25"/>
    <row r="189" ht="17.100000000000001" customHeight="1" x14ac:dyDescent="0.25"/>
    <row r="190" ht="17.100000000000001" customHeight="1" x14ac:dyDescent="0.25"/>
    <row r="191" ht="17.100000000000001" customHeight="1" x14ac:dyDescent="0.25"/>
    <row r="192" ht="17.100000000000001" customHeight="1" x14ac:dyDescent="0.25"/>
    <row r="193" ht="17.100000000000001" customHeight="1" x14ac:dyDescent="0.25"/>
    <row r="194" ht="17.100000000000001" customHeight="1" x14ac:dyDescent="0.25"/>
    <row r="195" ht="17.100000000000001" customHeight="1" x14ac:dyDescent="0.25"/>
    <row r="196" ht="30" customHeight="1" x14ac:dyDescent="0.25"/>
    <row r="197" ht="17.100000000000001" customHeight="1" x14ac:dyDescent="0.25"/>
    <row r="198" ht="30" customHeight="1" x14ac:dyDescent="0.25"/>
    <row r="199" ht="17.100000000000001" customHeight="1" x14ac:dyDescent="0.25"/>
    <row r="200" ht="17.100000000000001" customHeight="1" x14ac:dyDescent="0.25"/>
    <row r="201" ht="17.100000000000001" customHeight="1" x14ac:dyDescent="0.25"/>
    <row r="202" ht="24.95" customHeight="1" x14ac:dyDescent="0.25"/>
    <row r="204" ht="21" customHeight="1" x14ac:dyDescent="0.25"/>
    <row r="205" ht="15.95" customHeight="1" x14ac:dyDescent="0.25"/>
    <row r="206" ht="15.95" customHeight="1" x14ac:dyDescent="0.25"/>
    <row r="207" ht="17.100000000000001" customHeight="1" x14ac:dyDescent="0.25"/>
    <row r="208" ht="17.100000000000001" customHeight="1" x14ac:dyDescent="0.25"/>
    <row r="209" ht="17.100000000000001" customHeight="1" x14ac:dyDescent="0.25"/>
    <row r="210" ht="17.100000000000001" customHeight="1" x14ac:dyDescent="0.25"/>
    <row r="211" ht="17.100000000000001" customHeight="1" x14ac:dyDescent="0.25"/>
    <row r="212" ht="17.100000000000001" customHeight="1" x14ac:dyDescent="0.25"/>
    <row r="213" ht="17.100000000000001" customHeight="1" x14ac:dyDescent="0.25"/>
    <row r="214" ht="17.100000000000001" customHeight="1" x14ac:dyDescent="0.25"/>
    <row r="215" ht="17.100000000000001" customHeight="1" x14ac:dyDescent="0.25"/>
    <row r="216" ht="17.100000000000001" customHeight="1" x14ac:dyDescent="0.25"/>
    <row r="217" ht="17.100000000000001" customHeight="1" x14ac:dyDescent="0.25"/>
    <row r="218" ht="17.100000000000001" customHeight="1" x14ac:dyDescent="0.25"/>
    <row r="219" ht="17.100000000000001" customHeight="1" x14ac:dyDescent="0.25"/>
    <row r="220" ht="17.100000000000001" customHeight="1" x14ac:dyDescent="0.25"/>
    <row r="221" ht="17.100000000000001" customHeight="1" x14ac:dyDescent="0.25"/>
    <row r="222" ht="17.100000000000001" customHeight="1" x14ac:dyDescent="0.25"/>
    <row r="223" ht="17.100000000000001" customHeight="1" x14ac:dyDescent="0.25"/>
    <row r="224" ht="17.100000000000001" customHeight="1" x14ac:dyDescent="0.25"/>
    <row r="225" ht="17.100000000000001" customHeight="1" x14ac:dyDescent="0.25"/>
    <row r="226" ht="17.100000000000001" customHeight="1" x14ac:dyDescent="0.25"/>
    <row r="227" ht="17.100000000000001" customHeight="1" x14ac:dyDescent="0.25"/>
    <row r="228" ht="17.100000000000001" customHeight="1" x14ac:dyDescent="0.25"/>
    <row r="229" ht="17.100000000000001" customHeight="1" x14ac:dyDescent="0.25"/>
    <row r="230" ht="17.100000000000001" customHeight="1" x14ac:dyDescent="0.25"/>
    <row r="231" ht="17.100000000000001" customHeight="1" x14ac:dyDescent="0.25"/>
    <row r="232" ht="17.100000000000001" customHeight="1" x14ac:dyDescent="0.25"/>
    <row r="233" ht="17.100000000000001" customHeight="1" x14ac:dyDescent="0.25"/>
    <row r="234" ht="17.100000000000001" customHeight="1" x14ac:dyDescent="0.25"/>
    <row r="235" ht="17.100000000000001" customHeight="1" x14ac:dyDescent="0.25"/>
    <row r="236" ht="17.100000000000001" customHeight="1" x14ac:dyDescent="0.25"/>
    <row r="237" ht="17.100000000000001" customHeight="1" x14ac:dyDescent="0.25"/>
    <row r="238" ht="17.100000000000001" customHeight="1" x14ac:dyDescent="0.25"/>
    <row r="239" ht="17.100000000000001" customHeight="1" x14ac:dyDescent="0.25"/>
    <row r="240" ht="17.100000000000001" customHeight="1" x14ac:dyDescent="0.25"/>
    <row r="241" ht="17.100000000000001" customHeight="1" x14ac:dyDescent="0.25"/>
    <row r="242" ht="17.100000000000001" customHeight="1" x14ac:dyDescent="0.25"/>
    <row r="243" ht="17.100000000000001" customHeight="1" x14ac:dyDescent="0.25"/>
    <row r="244" ht="17.100000000000001" customHeight="1" x14ac:dyDescent="0.25"/>
    <row r="245" ht="17.100000000000001" customHeight="1" x14ac:dyDescent="0.25"/>
    <row r="246" ht="17.100000000000001" customHeight="1" x14ac:dyDescent="0.25"/>
    <row r="247" ht="17.100000000000001" customHeight="1" x14ac:dyDescent="0.25"/>
    <row r="248" ht="30" customHeight="1" x14ac:dyDescent="0.25"/>
    <row r="249" ht="17.100000000000001" customHeight="1" x14ac:dyDescent="0.25"/>
    <row r="250" ht="30" customHeight="1" x14ac:dyDescent="0.25"/>
    <row r="251" ht="17.100000000000001" customHeight="1" x14ac:dyDescent="0.25"/>
    <row r="252" ht="17.100000000000001" customHeight="1" x14ac:dyDescent="0.25"/>
    <row r="253" ht="17.100000000000001" customHeight="1" x14ac:dyDescent="0.25"/>
    <row r="254" ht="24.95" customHeight="1" x14ac:dyDescent="0.25"/>
    <row r="256" ht="21" customHeight="1" x14ac:dyDescent="0.25"/>
    <row r="257" ht="15.95" customHeight="1" x14ac:dyDescent="0.25"/>
    <row r="258" ht="15.95" customHeight="1" x14ac:dyDescent="0.25"/>
    <row r="259" ht="17.100000000000001" customHeight="1" x14ac:dyDescent="0.25"/>
    <row r="260" ht="17.100000000000001" customHeight="1" x14ac:dyDescent="0.25"/>
    <row r="261" ht="17.100000000000001" customHeight="1" x14ac:dyDescent="0.25"/>
    <row r="262" ht="17.100000000000001" customHeight="1" x14ac:dyDescent="0.25"/>
    <row r="263" ht="17.100000000000001" customHeight="1" x14ac:dyDescent="0.25"/>
    <row r="264" ht="17.100000000000001" customHeight="1" x14ac:dyDescent="0.25"/>
    <row r="265" ht="17.100000000000001" customHeight="1" x14ac:dyDescent="0.25"/>
    <row r="266" ht="17.100000000000001" customHeight="1" x14ac:dyDescent="0.25"/>
    <row r="267" ht="30" customHeight="1" x14ac:dyDescent="0.25"/>
    <row r="268" ht="17.100000000000001" customHeight="1" x14ac:dyDescent="0.25"/>
    <row r="269" ht="30" customHeight="1" x14ac:dyDescent="0.25"/>
    <row r="270" ht="17.100000000000001" customHeight="1" x14ac:dyDescent="0.25"/>
    <row r="271" ht="17.100000000000001" customHeight="1" x14ac:dyDescent="0.25"/>
    <row r="272" ht="17.100000000000001" customHeight="1" x14ac:dyDescent="0.25"/>
    <row r="273" ht="17.100000000000001" customHeight="1" x14ac:dyDescent="0.25"/>
    <row r="274" ht="30" customHeight="1" x14ac:dyDescent="0.25"/>
    <row r="275" ht="17.100000000000001" customHeight="1" x14ac:dyDescent="0.25"/>
    <row r="276" ht="17.100000000000001" customHeight="1" x14ac:dyDescent="0.25"/>
    <row r="277" ht="17.100000000000001" customHeight="1" x14ac:dyDescent="0.25"/>
    <row r="278" ht="17.100000000000001" customHeight="1" x14ac:dyDescent="0.25"/>
    <row r="279" ht="17.100000000000001" customHeight="1" x14ac:dyDescent="0.25"/>
    <row r="280" ht="17.100000000000001" customHeight="1" x14ac:dyDescent="0.25"/>
    <row r="281" ht="17.100000000000001" customHeight="1" x14ac:dyDescent="0.25"/>
    <row r="282" ht="17.100000000000001" customHeight="1" x14ac:dyDescent="0.25"/>
    <row r="283" ht="17.100000000000001" customHeight="1" x14ac:dyDescent="0.25"/>
    <row r="284" ht="17.100000000000001" customHeight="1" x14ac:dyDescent="0.25"/>
    <row r="285" ht="30" customHeight="1" x14ac:dyDescent="0.25"/>
    <row r="286" ht="17.100000000000001" customHeight="1" x14ac:dyDescent="0.25"/>
    <row r="287" ht="17.100000000000001" customHeight="1" x14ac:dyDescent="0.25"/>
    <row r="288" ht="30" customHeight="1" x14ac:dyDescent="0.25"/>
    <row r="289" ht="17.100000000000001" customHeight="1" x14ac:dyDescent="0.25"/>
    <row r="290" ht="17.100000000000001" customHeight="1" x14ac:dyDescent="0.25"/>
    <row r="291" ht="17.100000000000001" customHeight="1" x14ac:dyDescent="0.25"/>
    <row r="292" ht="17.100000000000001" customHeight="1" x14ac:dyDescent="0.25"/>
    <row r="293" ht="30" customHeight="1" x14ac:dyDescent="0.25"/>
    <row r="294" ht="17.100000000000001" customHeight="1" x14ac:dyDescent="0.25"/>
    <row r="295" ht="17.100000000000001" customHeight="1" x14ac:dyDescent="0.25"/>
    <row r="296" ht="30" customHeight="1" x14ac:dyDescent="0.25"/>
    <row r="297" ht="17.100000000000001" customHeight="1" x14ac:dyDescent="0.25"/>
    <row r="298" ht="30" customHeight="1" x14ac:dyDescent="0.25"/>
    <row r="299" ht="17.100000000000001" customHeight="1" x14ac:dyDescent="0.25"/>
    <row r="300" ht="17.100000000000001" customHeight="1" x14ac:dyDescent="0.25"/>
    <row r="301" ht="17.100000000000001" customHeight="1" x14ac:dyDescent="0.25"/>
    <row r="302" ht="17.100000000000001" customHeight="1" x14ac:dyDescent="0.25"/>
    <row r="303" ht="17.100000000000001" customHeight="1" x14ac:dyDescent="0.25"/>
    <row r="304" ht="17.100000000000001" customHeight="1" x14ac:dyDescent="0.25"/>
    <row r="305" ht="17.100000000000001" customHeight="1" x14ac:dyDescent="0.25"/>
    <row r="306" ht="17.100000000000001" customHeight="1" x14ac:dyDescent="0.25"/>
    <row r="307" ht="30" customHeight="1" x14ac:dyDescent="0.25"/>
    <row r="308" ht="30" customHeight="1" x14ac:dyDescent="0.25"/>
    <row r="309" ht="17.100000000000001" customHeight="1" x14ac:dyDescent="0.25"/>
    <row r="310" ht="17.100000000000001" customHeight="1" x14ac:dyDescent="0.25"/>
    <row r="311" ht="17.100000000000001" customHeight="1" x14ac:dyDescent="0.25"/>
    <row r="312" ht="17.100000000000001" customHeight="1" x14ac:dyDescent="0.25"/>
    <row r="313" ht="30" customHeight="1" x14ac:dyDescent="0.25"/>
    <row r="314" ht="30" customHeight="1" x14ac:dyDescent="0.25"/>
    <row r="315" ht="17.100000000000001" customHeight="1" x14ac:dyDescent="0.25"/>
    <row r="316" ht="17.100000000000001" customHeight="1" x14ac:dyDescent="0.25"/>
    <row r="317" ht="30" customHeight="1" x14ac:dyDescent="0.25"/>
    <row r="318" ht="17.100000000000001" customHeight="1" x14ac:dyDescent="0.25"/>
    <row r="319" ht="17.100000000000001" customHeight="1" x14ac:dyDescent="0.25"/>
    <row r="320" ht="17.100000000000001" customHeight="1" x14ac:dyDescent="0.25"/>
    <row r="321" ht="17.100000000000001" customHeight="1" x14ac:dyDescent="0.25"/>
    <row r="322" ht="17.100000000000001" customHeight="1" x14ac:dyDescent="0.25"/>
    <row r="323" ht="17.100000000000001" customHeight="1" x14ac:dyDescent="0.25"/>
    <row r="324" ht="17.100000000000001" customHeight="1" x14ac:dyDescent="0.25"/>
    <row r="325" ht="17.100000000000001" customHeight="1" x14ac:dyDescent="0.25"/>
    <row r="326" ht="30" customHeight="1" x14ac:dyDescent="0.25"/>
    <row r="327" ht="30" customHeight="1" x14ac:dyDescent="0.25"/>
    <row r="328" ht="30" customHeight="1" x14ac:dyDescent="0.25"/>
    <row r="329" ht="17.100000000000001" customHeight="1" x14ac:dyDescent="0.25"/>
    <row r="330" ht="17.100000000000001" customHeight="1" x14ac:dyDescent="0.25"/>
    <row r="331" ht="17.100000000000001" customHeight="1" x14ac:dyDescent="0.25"/>
    <row r="332" ht="17.100000000000001" customHeight="1" x14ac:dyDescent="0.25"/>
    <row r="333" ht="30" customHeight="1" x14ac:dyDescent="0.25"/>
    <row r="334" ht="30" customHeight="1" x14ac:dyDescent="0.25"/>
    <row r="335" ht="17.100000000000001" customHeight="1" x14ac:dyDescent="0.25"/>
    <row r="336" ht="17.100000000000001" customHeight="1" x14ac:dyDescent="0.25"/>
    <row r="337" ht="17.100000000000001" customHeight="1" x14ac:dyDescent="0.25"/>
    <row r="338" ht="17.100000000000001" customHeight="1" x14ac:dyDescent="0.25"/>
    <row r="339" ht="17.100000000000001" customHeight="1" x14ac:dyDescent="0.25"/>
    <row r="340" ht="17.100000000000001" customHeight="1" x14ac:dyDescent="0.25"/>
    <row r="341" ht="17.100000000000001" customHeight="1" x14ac:dyDescent="0.25"/>
    <row r="342" ht="30" customHeight="1" x14ac:dyDescent="0.25"/>
    <row r="343" ht="30" customHeight="1" x14ac:dyDescent="0.25"/>
    <row r="344" ht="17.100000000000001" customHeight="1" x14ac:dyDescent="0.25"/>
    <row r="345" ht="17.100000000000001" customHeight="1" x14ac:dyDescent="0.25"/>
    <row r="346" ht="17.100000000000001" customHeight="1" x14ac:dyDescent="0.25"/>
    <row r="347" ht="30" customHeight="1" x14ac:dyDescent="0.25"/>
    <row r="348" ht="30" customHeight="1" x14ac:dyDescent="0.25"/>
    <row r="349" ht="17.100000000000001" customHeight="1" x14ac:dyDescent="0.25"/>
    <row r="350" ht="30" customHeight="1" x14ac:dyDescent="0.25"/>
    <row r="351" ht="17.100000000000001" customHeight="1" x14ac:dyDescent="0.25"/>
    <row r="352" ht="17.100000000000001" customHeight="1" x14ac:dyDescent="0.25"/>
    <row r="353" ht="17.100000000000001" customHeight="1" x14ac:dyDescent="0.25"/>
    <row r="354" ht="30" customHeight="1" x14ac:dyDescent="0.25"/>
    <row r="355" ht="17.100000000000001" customHeight="1" x14ac:dyDescent="0.25"/>
    <row r="356" ht="17.100000000000001" customHeight="1" x14ac:dyDescent="0.25"/>
    <row r="357" ht="17.100000000000001" customHeight="1" x14ac:dyDescent="0.25"/>
    <row r="358" ht="17.100000000000001" customHeight="1" x14ac:dyDescent="0.25"/>
    <row r="359" ht="17.100000000000001" customHeight="1" x14ac:dyDescent="0.25"/>
    <row r="360" ht="17.100000000000001" customHeight="1" x14ac:dyDescent="0.25"/>
    <row r="361" ht="17.100000000000001" customHeight="1" x14ac:dyDescent="0.25"/>
    <row r="362" ht="17.100000000000001" customHeight="1" x14ac:dyDescent="0.25"/>
    <row r="363" ht="17.100000000000001" customHeight="1" x14ac:dyDescent="0.25"/>
    <row r="364" ht="17.100000000000001" customHeight="1" x14ac:dyDescent="0.25"/>
    <row r="365" ht="17.100000000000001" customHeight="1" x14ac:dyDescent="0.25"/>
    <row r="366" ht="17.100000000000001" customHeight="1" x14ac:dyDescent="0.25"/>
    <row r="367" ht="30" customHeight="1" x14ac:dyDescent="0.25"/>
    <row r="368" ht="30" customHeight="1" x14ac:dyDescent="0.25"/>
    <row r="369" ht="17.100000000000001" customHeight="1" x14ac:dyDescent="0.25"/>
    <row r="370" ht="30" customHeight="1" x14ac:dyDescent="0.25"/>
    <row r="371" ht="17.100000000000001" customHeight="1" x14ac:dyDescent="0.25"/>
    <row r="372" ht="17.100000000000001" customHeight="1" x14ac:dyDescent="0.25"/>
    <row r="373" ht="17.100000000000001" customHeight="1" x14ac:dyDescent="0.25"/>
    <row r="374" ht="17.100000000000001" customHeight="1" x14ac:dyDescent="0.25"/>
    <row r="375" ht="17.100000000000001" customHeight="1" x14ac:dyDescent="0.25"/>
    <row r="376" ht="24.95" customHeight="1" x14ac:dyDescent="0.25"/>
    <row r="378" ht="21" customHeight="1" x14ac:dyDescent="0.25"/>
    <row r="379" ht="15.95" customHeight="1" x14ac:dyDescent="0.25"/>
    <row r="380" ht="15.95" customHeight="1" x14ac:dyDescent="0.25"/>
    <row r="381" ht="17.100000000000001" customHeight="1" x14ac:dyDescent="0.25"/>
    <row r="382" ht="17.100000000000001" customHeight="1" x14ac:dyDescent="0.25"/>
    <row r="383" ht="17.100000000000001" customHeight="1" x14ac:dyDescent="0.25"/>
    <row r="384" ht="17.100000000000001" customHeight="1" x14ac:dyDescent="0.25"/>
    <row r="385" ht="17.100000000000001" customHeight="1" x14ac:dyDescent="0.25"/>
    <row r="386" ht="17.100000000000001" customHeight="1" x14ac:dyDescent="0.25"/>
    <row r="387" ht="17.100000000000001" customHeight="1" x14ac:dyDescent="0.25"/>
    <row r="388" ht="17.100000000000001" customHeight="1" x14ac:dyDescent="0.25"/>
    <row r="389" ht="30" customHeight="1" x14ac:dyDescent="0.25"/>
    <row r="390" ht="17.100000000000001" customHeight="1" x14ac:dyDescent="0.25"/>
    <row r="391" ht="30" customHeight="1" x14ac:dyDescent="0.25"/>
    <row r="392" ht="17.100000000000001" customHeight="1" x14ac:dyDescent="0.25"/>
    <row r="393" ht="17.100000000000001" customHeight="1" x14ac:dyDescent="0.25"/>
    <row r="394" ht="17.100000000000001" customHeight="1" x14ac:dyDescent="0.25"/>
    <row r="395" ht="17.100000000000001" customHeight="1" x14ac:dyDescent="0.25"/>
    <row r="396" ht="30" customHeight="1" x14ac:dyDescent="0.25"/>
    <row r="397" ht="17.100000000000001" customHeight="1" x14ac:dyDescent="0.25"/>
    <row r="398" ht="17.100000000000001" customHeight="1" x14ac:dyDescent="0.25"/>
    <row r="399" ht="17.100000000000001" customHeight="1" x14ac:dyDescent="0.25"/>
    <row r="400" ht="17.100000000000001" customHeight="1" x14ac:dyDescent="0.25"/>
    <row r="401" ht="17.100000000000001" customHeight="1" x14ac:dyDescent="0.25"/>
    <row r="402" ht="17.100000000000001" customHeight="1" x14ac:dyDescent="0.25"/>
    <row r="403" ht="17.100000000000001" customHeight="1" x14ac:dyDescent="0.25"/>
    <row r="404" ht="17.100000000000001" customHeight="1" x14ac:dyDescent="0.25"/>
    <row r="405" ht="17.100000000000001" customHeight="1" x14ac:dyDescent="0.25"/>
    <row r="406" ht="17.100000000000001" customHeight="1" x14ac:dyDescent="0.25"/>
    <row r="407" ht="30" customHeight="1" x14ac:dyDescent="0.25"/>
    <row r="408" ht="17.100000000000001" customHeight="1" x14ac:dyDescent="0.25"/>
    <row r="409" ht="17.100000000000001" customHeight="1" x14ac:dyDescent="0.25"/>
    <row r="410" ht="30" customHeight="1" x14ac:dyDescent="0.25"/>
    <row r="411" ht="17.100000000000001" customHeight="1" x14ac:dyDescent="0.25"/>
    <row r="412" ht="17.100000000000001" customHeight="1" x14ac:dyDescent="0.25"/>
    <row r="413" ht="17.100000000000001" customHeight="1" x14ac:dyDescent="0.25"/>
    <row r="414" ht="17.100000000000001" customHeight="1" x14ac:dyDescent="0.25"/>
    <row r="415" ht="30" customHeight="1" x14ac:dyDescent="0.25"/>
    <row r="416" ht="17.100000000000001" customHeight="1" x14ac:dyDescent="0.25"/>
    <row r="417" ht="17.100000000000001" customHeight="1" x14ac:dyDescent="0.25"/>
    <row r="418" ht="30" customHeight="1" x14ac:dyDescent="0.25"/>
    <row r="419" ht="17.100000000000001" customHeight="1" x14ac:dyDescent="0.25"/>
    <row r="420" ht="30" customHeight="1" x14ac:dyDescent="0.25"/>
    <row r="421" ht="17.100000000000001" customHeight="1" x14ac:dyDescent="0.25"/>
    <row r="422" ht="17.100000000000001" customHeight="1" x14ac:dyDescent="0.25"/>
    <row r="423" ht="17.100000000000001" customHeight="1" x14ac:dyDescent="0.25"/>
    <row r="424" ht="17.100000000000001" customHeight="1" x14ac:dyDescent="0.25"/>
    <row r="425" ht="17.100000000000001" customHeight="1" x14ac:dyDescent="0.25"/>
    <row r="426" ht="17.100000000000001" customHeight="1" x14ac:dyDescent="0.25"/>
    <row r="427" ht="17.100000000000001" customHeight="1" x14ac:dyDescent="0.25"/>
    <row r="428" ht="17.100000000000001" customHeight="1" x14ac:dyDescent="0.25"/>
    <row r="429" ht="30" customHeight="1" x14ac:dyDescent="0.25"/>
    <row r="430" ht="30" customHeight="1" x14ac:dyDescent="0.25"/>
    <row r="431" ht="17.100000000000001" customHeight="1" x14ac:dyDescent="0.25"/>
    <row r="432" ht="17.100000000000001" customHeight="1" x14ac:dyDescent="0.25"/>
    <row r="433" ht="17.100000000000001" customHeight="1" x14ac:dyDescent="0.25"/>
    <row r="434" ht="17.100000000000001" customHeight="1" x14ac:dyDescent="0.25"/>
    <row r="435" ht="30" customHeight="1" x14ac:dyDescent="0.25"/>
    <row r="436" ht="30" customHeight="1" x14ac:dyDescent="0.25"/>
    <row r="437" ht="17.100000000000001" customHeight="1" x14ac:dyDescent="0.25"/>
    <row r="438" ht="17.100000000000001" customHeight="1" x14ac:dyDescent="0.25"/>
    <row r="439" ht="30" customHeight="1" x14ac:dyDescent="0.25"/>
    <row r="440" ht="17.100000000000001" customHeight="1" x14ac:dyDescent="0.25"/>
    <row r="441" ht="17.100000000000001" customHeight="1" x14ac:dyDescent="0.25"/>
    <row r="442" ht="17.100000000000001" customHeight="1" x14ac:dyDescent="0.25"/>
    <row r="443" ht="17.100000000000001" customHeight="1" x14ac:dyDescent="0.25"/>
    <row r="444" ht="17.100000000000001" customHeight="1" x14ac:dyDescent="0.25"/>
    <row r="445" ht="17.100000000000001" customHeight="1" x14ac:dyDescent="0.25"/>
    <row r="446" ht="17.100000000000001" customHeight="1" x14ac:dyDescent="0.25"/>
    <row r="447" ht="17.100000000000001" customHeight="1" x14ac:dyDescent="0.25"/>
    <row r="448" ht="30" customHeight="1" x14ac:dyDescent="0.25"/>
    <row r="449" ht="30" customHeight="1" x14ac:dyDescent="0.25"/>
    <row r="450" ht="30" customHeight="1" x14ac:dyDescent="0.25"/>
    <row r="451" ht="17.100000000000001" customHeight="1" x14ac:dyDescent="0.25"/>
    <row r="452" ht="17.100000000000001" customHeight="1" x14ac:dyDescent="0.25"/>
    <row r="453" ht="17.100000000000001" customHeight="1" x14ac:dyDescent="0.25"/>
    <row r="454" ht="17.100000000000001" customHeight="1" x14ac:dyDescent="0.25"/>
    <row r="455" ht="30" customHeight="1" x14ac:dyDescent="0.25"/>
    <row r="456" ht="30" customHeight="1" x14ac:dyDescent="0.25"/>
    <row r="457" ht="17.100000000000001" customHeight="1" x14ac:dyDescent="0.25"/>
    <row r="458" ht="17.100000000000001" customHeight="1" x14ac:dyDescent="0.25"/>
    <row r="459" ht="17.100000000000001" customHeight="1" x14ac:dyDescent="0.25"/>
    <row r="460" ht="17.100000000000001" customHeight="1" x14ac:dyDescent="0.25"/>
    <row r="461" ht="17.100000000000001" customHeight="1" x14ac:dyDescent="0.25"/>
    <row r="462" ht="17.100000000000001" customHeight="1" x14ac:dyDescent="0.25"/>
    <row r="463" ht="17.100000000000001" customHeight="1" x14ac:dyDescent="0.25"/>
    <row r="464" ht="30" customHeight="1" x14ac:dyDescent="0.25"/>
    <row r="465" ht="30" customHeight="1" x14ac:dyDescent="0.25"/>
    <row r="466" ht="17.100000000000001" customHeight="1" x14ac:dyDescent="0.25"/>
    <row r="467" ht="17.100000000000001" customHeight="1" x14ac:dyDescent="0.25"/>
    <row r="468" ht="17.100000000000001" customHeight="1" x14ac:dyDescent="0.25"/>
    <row r="469" ht="30" customHeight="1" x14ac:dyDescent="0.25"/>
    <row r="470" ht="30" customHeight="1" x14ac:dyDescent="0.25"/>
    <row r="471" ht="17.100000000000001" customHeight="1" x14ac:dyDescent="0.25"/>
    <row r="472" ht="30" customHeight="1" x14ac:dyDescent="0.25"/>
    <row r="473" ht="17.100000000000001" customHeight="1" x14ac:dyDescent="0.25"/>
    <row r="474" ht="17.100000000000001" customHeight="1" x14ac:dyDescent="0.25"/>
    <row r="475" ht="17.100000000000001" customHeight="1" x14ac:dyDescent="0.25"/>
    <row r="476" ht="30" customHeight="1" x14ac:dyDescent="0.25"/>
    <row r="477" ht="17.100000000000001" customHeight="1" x14ac:dyDescent="0.25"/>
    <row r="478" ht="17.100000000000001" customHeight="1" x14ac:dyDescent="0.25"/>
    <row r="479" ht="17.100000000000001" customHeight="1" x14ac:dyDescent="0.25"/>
    <row r="480" ht="17.100000000000001" customHeight="1" x14ac:dyDescent="0.25"/>
    <row r="481" ht="17.100000000000001" customHeight="1" x14ac:dyDescent="0.25"/>
    <row r="482" ht="17.100000000000001" customHeight="1" x14ac:dyDescent="0.25"/>
    <row r="483" ht="17.100000000000001" customHeight="1" x14ac:dyDescent="0.25"/>
    <row r="484" ht="17.100000000000001" customHeight="1" x14ac:dyDescent="0.25"/>
    <row r="485" ht="17.100000000000001" customHeight="1" x14ac:dyDescent="0.25"/>
    <row r="486" ht="17.100000000000001" customHeight="1" x14ac:dyDescent="0.25"/>
    <row r="487" ht="17.100000000000001" customHeight="1" x14ac:dyDescent="0.25"/>
    <row r="488" ht="17.100000000000001" customHeight="1" x14ac:dyDescent="0.25"/>
    <row r="489" ht="30" customHeight="1" x14ac:dyDescent="0.25"/>
    <row r="490" ht="30" customHeight="1" x14ac:dyDescent="0.25"/>
    <row r="491" ht="17.100000000000001" customHeight="1" x14ac:dyDescent="0.25"/>
    <row r="492" ht="30" customHeight="1" x14ac:dyDescent="0.25"/>
    <row r="493" ht="17.100000000000001" customHeight="1" x14ac:dyDescent="0.25"/>
    <row r="494" ht="17.100000000000001" customHeight="1" x14ac:dyDescent="0.25"/>
    <row r="495" ht="17.100000000000001" customHeight="1" x14ac:dyDescent="0.25"/>
    <row r="496" ht="17.100000000000001" customHeight="1" x14ac:dyDescent="0.25"/>
    <row r="497" ht="17.100000000000001" customHeight="1" x14ac:dyDescent="0.25"/>
    <row r="498" ht="24.95" customHeight="1" x14ac:dyDescent="0.25"/>
    <row r="500" ht="21" customHeight="1" x14ac:dyDescent="0.25"/>
    <row r="501" ht="15.95" customHeight="1" x14ac:dyDescent="0.25"/>
    <row r="502" ht="15.95" customHeight="1" x14ac:dyDescent="0.25"/>
    <row r="503" ht="17.100000000000001" customHeight="1" x14ac:dyDescent="0.25"/>
    <row r="504" ht="17.100000000000001" customHeight="1" x14ac:dyDescent="0.25"/>
    <row r="505" ht="17.100000000000001" customHeight="1" x14ac:dyDescent="0.25"/>
    <row r="506" ht="17.100000000000001" customHeight="1" x14ac:dyDescent="0.25"/>
    <row r="507" ht="17.100000000000001" customHeight="1" x14ac:dyDescent="0.25"/>
    <row r="508" ht="17.100000000000001" customHeight="1" x14ac:dyDescent="0.25"/>
    <row r="509" ht="17.100000000000001" customHeight="1" x14ac:dyDescent="0.25"/>
    <row r="510" ht="17.100000000000001" customHeight="1" x14ac:dyDescent="0.25"/>
    <row r="511" ht="30" customHeight="1" x14ac:dyDescent="0.25"/>
    <row r="512" ht="17.100000000000001" customHeight="1" x14ac:dyDescent="0.25"/>
    <row r="513" ht="30" customHeight="1" x14ac:dyDescent="0.25"/>
    <row r="514" ht="17.100000000000001" customHeight="1" x14ac:dyDescent="0.25"/>
    <row r="515" ht="17.100000000000001" customHeight="1" x14ac:dyDescent="0.25"/>
    <row r="516" ht="17.100000000000001" customHeight="1" x14ac:dyDescent="0.25"/>
    <row r="517" ht="17.100000000000001" customHeight="1" x14ac:dyDescent="0.25"/>
    <row r="518" ht="30" customHeight="1" x14ac:dyDescent="0.25"/>
    <row r="519" ht="17.100000000000001" customHeight="1" x14ac:dyDescent="0.25"/>
    <row r="520" ht="17.100000000000001" customHeight="1" x14ac:dyDescent="0.25"/>
    <row r="521" ht="17.100000000000001" customHeight="1" x14ac:dyDescent="0.25"/>
    <row r="522" ht="17.100000000000001" customHeight="1" x14ac:dyDescent="0.25"/>
    <row r="523" ht="17.100000000000001" customHeight="1" x14ac:dyDescent="0.25"/>
    <row r="524" ht="17.100000000000001" customHeight="1" x14ac:dyDescent="0.25"/>
    <row r="525" ht="17.100000000000001" customHeight="1" x14ac:dyDescent="0.25"/>
    <row r="526" ht="17.100000000000001" customHeight="1" x14ac:dyDescent="0.25"/>
    <row r="527" ht="17.100000000000001" customHeight="1" x14ac:dyDescent="0.25"/>
    <row r="528" ht="17.100000000000001" customHeight="1" x14ac:dyDescent="0.25"/>
    <row r="529" ht="30" customHeight="1" x14ac:dyDescent="0.25"/>
    <row r="530" ht="17.100000000000001" customHeight="1" x14ac:dyDescent="0.25"/>
    <row r="531" ht="17.100000000000001" customHeight="1" x14ac:dyDescent="0.25"/>
    <row r="532" ht="30" customHeight="1" x14ac:dyDescent="0.25"/>
    <row r="533" ht="17.100000000000001" customHeight="1" x14ac:dyDescent="0.25"/>
    <row r="534" ht="17.100000000000001" customHeight="1" x14ac:dyDescent="0.25"/>
    <row r="535" ht="17.100000000000001" customHeight="1" x14ac:dyDescent="0.25"/>
    <row r="536" ht="17.100000000000001" customHeight="1" x14ac:dyDescent="0.25"/>
    <row r="537" ht="30" customHeight="1" x14ac:dyDescent="0.25"/>
    <row r="538" ht="17.100000000000001" customHeight="1" x14ac:dyDescent="0.25"/>
    <row r="539" ht="17.100000000000001" customHeight="1" x14ac:dyDescent="0.25"/>
    <row r="540" ht="30" customHeight="1" x14ac:dyDescent="0.25"/>
    <row r="541" ht="17.100000000000001" customHeight="1" x14ac:dyDescent="0.25"/>
    <row r="542" ht="30" customHeight="1" x14ac:dyDescent="0.25"/>
    <row r="543" ht="17.100000000000001" customHeight="1" x14ac:dyDescent="0.25"/>
    <row r="544" ht="17.100000000000001" customHeight="1" x14ac:dyDescent="0.25"/>
    <row r="545" ht="17.100000000000001" customHeight="1" x14ac:dyDescent="0.25"/>
    <row r="546" ht="17.100000000000001" customHeight="1" x14ac:dyDescent="0.25"/>
    <row r="547" ht="17.100000000000001" customHeight="1" x14ac:dyDescent="0.25"/>
    <row r="548" ht="17.100000000000001" customHeight="1" x14ac:dyDescent="0.25"/>
    <row r="549" ht="17.100000000000001" customHeight="1" x14ac:dyDescent="0.25"/>
    <row r="550" ht="17.100000000000001" customHeight="1" x14ac:dyDescent="0.25"/>
    <row r="551" ht="30" customHeight="1" x14ac:dyDescent="0.25"/>
    <row r="552" ht="30" customHeight="1" x14ac:dyDescent="0.25"/>
    <row r="553" ht="17.100000000000001" customHeight="1" x14ac:dyDescent="0.25"/>
    <row r="554" ht="17.100000000000001" customHeight="1" x14ac:dyDescent="0.25"/>
    <row r="555" ht="17.100000000000001" customHeight="1" x14ac:dyDescent="0.25"/>
    <row r="556" ht="17.100000000000001" customHeight="1" x14ac:dyDescent="0.25"/>
    <row r="557" ht="30" customHeight="1" x14ac:dyDescent="0.25"/>
    <row r="558" ht="30" customHeight="1" x14ac:dyDescent="0.25"/>
    <row r="559" ht="17.100000000000001" customHeight="1" x14ac:dyDescent="0.25"/>
    <row r="560" ht="17.100000000000001" customHeight="1" x14ac:dyDescent="0.25"/>
    <row r="561" ht="30" customHeight="1" x14ac:dyDescent="0.25"/>
    <row r="562" ht="17.100000000000001" customHeight="1" x14ac:dyDescent="0.25"/>
    <row r="563" ht="17.100000000000001" customHeight="1" x14ac:dyDescent="0.25"/>
    <row r="564" ht="17.100000000000001" customHeight="1" x14ac:dyDescent="0.25"/>
    <row r="565" ht="17.100000000000001" customHeight="1" x14ac:dyDescent="0.25"/>
    <row r="566" ht="17.100000000000001" customHeight="1" x14ac:dyDescent="0.25"/>
    <row r="567" ht="17.100000000000001" customHeight="1" x14ac:dyDescent="0.25"/>
    <row r="568" ht="17.100000000000001" customHeight="1" x14ac:dyDescent="0.25"/>
    <row r="569" ht="17.100000000000001" customHeight="1" x14ac:dyDescent="0.25"/>
    <row r="570" ht="30" customHeight="1" x14ac:dyDescent="0.25"/>
    <row r="571" ht="30" customHeight="1" x14ac:dyDescent="0.25"/>
    <row r="572" ht="30" customHeight="1" x14ac:dyDescent="0.25"/>
    <row r="573" ht="17.100000000000001" customHeight="1" x14ac:dyDescent="0.25"/>
    <row r="574" ht="17.100000000000001" customHeight="1" x14ac:dyDescent="0.25"/>
    <row r="575" ht="17.100000000000001" customHeight="1" x14ac:dyDescent="0.25"/>
    <row r="576" ht="17.100000000000001" customHeight="1" x14ac:dyDescent="0.25"/>
    <row r="577" ht="30" customHeight="1" x14ac:dyDescent="0.25"/>
    <row r="578" ht="30" customHeight="1" x14ac:dyDescent="0.25"/>
    <row r="579" ht="17.100000000000001" customHeight="1" x14ac:dyDescent="0.25"/>
    <row r="580" ht="17.100000000000001" customHeight="1" x14ac:dyDescent="0.25"/>
    <row r="581" ht="17.100000000000001" customHeight="1" x14ac:dyDescent="0.25"/>
    <row r="582" ht="17.100000000000001" customHeight="1" x14ac:dyDescent="0.25"/>
    <row r="583" ht="17.100000000000001" customHeight="1" x14ac:dyDescent="0.25"/>
    <row r="584" ht="17.100000000000001" customHeight="1" x14ac:dyDescent="0.25"/>
    <row r="585" ht="17.100000000000001" customHeight="1" x14ac:dyDescent="0.25"/>
    <row r="586" ht="30" customHeight="1" x14ac:dyDescent="0.25"/>
    <row r="587" ht="30" customHeight="1" x14ac:dyDescent="0.25"/>
    <row r="588" ht="17.100000000000001" customHeight="1" x14ac:dyDescent="0.25"/>
    <row r="589" ht="17.100000000000001" customHeight="1" x14ac:dyDescent="0.25"/>
    <row r="590" ht="17.100000000000001" customHeight="1" x14ac:dyDescent="0.25"/>
    <row r="591" ht="30" customHeight="1" x14ac:dyDescent="0.25"/>
    <row r="592" ht="30" customHeight="1" x14ac:dyDescent="0.25"/>
    <row r="593" ht="17.100000000000001" customHeight="1" x14ac:dyDescent="0.25"/>
    <row r="594" ht="30" customHeight="1" x14ac:dyDescent="0.25"/>
    <row r="595" ht="17.100000000000001" customHeight="1" x14ac:dyDescent="0.25"/>
    <row r="596" ht="17.100000000000001" customHeight="1" x14ac:dyDescent="0.25"/>
    <row r="597" ht="17.100000000000001" customHeight="1" x14ac:dyDescent="0.25"/>
    <row r="598" ht="30" customHeight="1" x14ac:dyDescent="0.25"/>
    <row r="599" ht="17.100000000000001" customHeight="1" x14ac:dyDescent="0.25"/>
    <row r="600" ht="17.100000000000001" customHeight="1" x14ac:dyDescent="0.25"/>
    <row r="601" ht="17.100000000000001" customHeight="1" x14ac:dyDescent="0.25"/>
    <row r="602" ht="17.100000000000001" customHeight="1" x14ac:dyDescent="0.25"/>
    <row r="603" ht="17.100000000000001" customHeight="1" x14ac:dyDescent="0.25"/>
    <row r="604" ht="17.100000000000001" customHeight="1" x14ac:dyDescent="0.25"/>
    <row r="605" ht="17.100000000000001" customHeight="1" x14ac:dyDescent="0.25"/>
    <row r="606" ht="17.100000000000001" customHeight="1" x14ac:dyDescent="0.25"/>
    <row r="607" ht="17.100000000000001" customHeight="1" x14ac:dyDescent="0.25"/>
    <row r="608" ht="17.100000000000001" customHeight="1" x14ac:dyDescent="0.25"/>
    <row r="609" ht="17.100000000000001" customHeight="1" x14ac:dyDescent="0.25"/>
    <row r="610" ht="17.100000000000001" customHeight="1" x14ac:dyDescent="0.25"/>
    <row r="611" ht="30" customHeight="1" x14ac:dyDescent="0.25"/>
    <row r="612" ht="30" customHeight="1" x14ac:dyDescent="0.25"/>
    <row r="613" ht="17.100000000000001" customHeight="1" x14ac:dyDescent="0.25"/>
    <row r="614" ht="30" customHeight="1" x14ac:dyDescent="0.25"/>
    <row r="615" ht="17.100000000000001" customHeight="1" x14ac:dyDescent="0.25"/>
    <row r="616" ht="17.100000000000001" customHeight="1" x14ac:dyDescent="0.25"/>
    <row r="617" ht="17.100000000000001" customHeight="1" x14ac:dyDescent="0.25"/>
    <row r="618" ht="17.100000000000001" customHeight="1" x14ac:dyDescent="0.25"/>
    <row r="619" ht="17.100000000000001" customHeight="1" x14ac:dyDescent="0.25"/>
    <row r="620" ht="24.95" customHeight="1" x14ac:dyDescent="0.25"/>
    <row r="622" ht="21" customHeight="1" x14ac:dyDescent="0.25"/>
    <row r="623" ht="15.95" customHeight="1" x14ac:dyDescent="0.25"/>
    <row r="624" ht="15.95" customHeight="1" x14ac:dyDescent="0.25"/>
    <row r="625" ht="17.100000000000001" customHeight="1" x14ac:dyDescent="0.25"/>
    <row r="626" ht="17.100000000000001" customHeight="1" x14ac:dyDescent="0.25"/>
    <row r="627" ht="17.100000000000001" customHeight="1" x14ac:dyDescent="0.25"/>
    <row r="628" ht="17.100000000000001" customHeight="1" x14ac:dyDescent="0.25"/>
    <row r="629" ht="17.100000000000001" customHeight="1" x14ac:dyDescent="0.25"/>
    <row r="630" ht="17.100000000000001" customHeight="1" x14ac:dyDescent="0.25"/>
    <row r="631" ht="17.100000000000001" customHeight="1" x14ac:dyDescent="0.25"/>
    <row r="632" ht="17.100000000000001" customHeight="1" x14ac:dyDescent="0.25"/>
    <row r="633" ht="30" customHeight="1" x14ac:dyDescent="0.25"/>
    <row r="634" ht="17.100000000000001" customHeight="1" x14ac:dyDescent="0.25"/>
    <row r="635" ht="30" customHeight="1" x14ac:dyDescent="0.25"/>
    <row r="636" ht="17.100000000000001" customHeight="1" x14ac:dyDescent="0.25"/>
    <row r="637" ht="17.100000000000001" customHeight="1" x14ac:dyDescent="0.25"/>
    <row r="638" ht="17.100000000000001" customHeight="1" x14ac:dyDescent="0.25"/>
    <row r="639" ht="17.100000000000001" customHeight="1" x14ac:dyDescent="0.25"/>
    <row r="640" ht="30" customHeight="1" x14ac:dyDescent="0.25"/>
    <row r="641" ht="17.100000000000001" customHeight="1" x14ac:dyDescent="0.25"/>
    <row r="642" ht="17.100000000000001" customHeight="1" x14ac:dyDescent="0.25"/>
    <row r="643" ht="17.100000000000001" customHeight="1" x14ac:dyDescent="0.25"/>
    <row r="644" ht="17.100000000000001" customHeight="1" x14ac:dyDescent="0.25"/>
    <row r="645" ht="17.100000000000001" customHeight="1" x14ac:dyDescent="0.25"/>
    <row r="646" ht="17.100000000000001" customHeight="1" x14ac:dyDescent="0.25"/>
    <row r="647" ht="17.100000000000001" customHeight="1" x14ac:dyDescent="0.25"/>
    <row r="648" ht="17.100000000000001" customHeight="1" x14ac:dyDescent="0.25"/>
    <row r="649" ht="17.100000000000001" customHeight="1" x14ac:dyDescent="0.25"/>
    <row r="650" ht="17.100000000000001" customHeight="1" x14ac:dyDescent="0.25"/>
    <row r="651" ht="30" customHeight="1" x14ac:dyDescent="0.25"/>
    <row r="652" ht="17.100000000000001" customHeight="1" x14ac:dyDescent="0.25"/>
    <row r="653" ht="17.100000000000001" customHeight="1" x14ac:dyDescent="0.25"/>
    <row r="654" ht="30" customHeight="1" x14ac:dyDescent="0.25"/>
    <row r="655" ht="17.100000000000001" customHeight="1" x14ac:dyDescent="0.25"/>
    <row r="656" ht="17.100000000000001" customHeight="1" x14ac:dyDescent="0.25"/>
    <row r="657" ht="17.100000000000001" customHeight="1" x14ac:dyDescent="0.25"/>
    <row r="658" ht="17.100000000000001" customHeight="1" x14ac:dyDescent="0.25"/>
    <row r="659" ht="30" customHeight="1" x14ac:dyDescent="0.25"/>
    <row r="660" ht="17.100000000000001" customHeight="1" x14ac:dyDescent="0.25"/>
    <row r="661" ht="17.100000000000001" customHeight="1" x14ac:dyDescent="0.25"/>
    <row r="662" ht="30" customHeight="1" x14ac:dyDescent="0.25"/>
    <row r="663" ht="17.100000000000001" customHeight="1" x14ac:dyDescent="0.25"/>
    <row r="664" ht="30" customHeight="1" x14ac:dyDescent="0.25"/>
    <row r="665" ht="17.100000000000001" customHeight="1" x14ac:dyDescent="0.25"/>
    <row r="666" ht="17.100000000000001" customHeight="1" x14ac:dyDescent="0.25"/>
    <row r="667" ht="17.100000000000001" customHeight="1" x14ac:dyDescent="0.25"/>
    <row r="668" ht="17.100000000000001" customHeight="1" x14ac:dyDescent="0.25"/>
    <row r="669" ht="17.100000000000001" customHeight="1" x14ac:dyDescent="0.25"/>
    <row r="670" ht="17.100000000000001" customHeight="1" x14ac:dyDescent="0.25"/>
    <row r="671" ht="17.100000000000001" customHeight="1" x14ac:dyDescent="0.25"/>
    <row r="672" ht="17.100000000000001" customHeight="1" x14ac:dyDescent="0.25"/>
    <row r="673" ht="30" customHeight="1" x14ac:dyDescent="0.25"/>
    <row r="674" ht="30" customHeight="1" x14ac:dyDescent="0.25"/>
    <row r="675" ht="17.100000000000001" customHeight="1" x14ac:dyDescent="0.25"/>
    <row r="676" ht="17.100000000000001" customHeight="1" x14ac:dyDescent="0.25"/>
    <row r="677" ht="17.100000000000001" customHeight="1" x14ac:dyDescent="0.25"/>
    <row r="678" ht="17.100000000000001" customHeight="1" x14ac:dyDescent="0.25"/>
    <row r="679" ht="30" customHeight="1" x14ac:dyDescent="0.25"/>
    <row r="680" ht="30" customHeight="1" x14ac:dyDescent="0.25"/>
    <row r="681" ht="17.100000000000001" customHeight="1" x14ac:dyDescent="0.25"/>
    <row r="682" ht="17.100000000000001" customHeight="1" x14ac:dyDescent="0.25"/>
    <row r="683" ht="30" customHeight="1" x14ac:dyDescent="0.25"/>
    <row r="684" ht="17.100000000000001" customHeight="1" x14ac:dyDescent="0.25"/>
    <row r="685" ht="17.100000000000001" customHeight="1" x14ac:dyDescent="0.25"/>
    <row r="686" ht="17.100000000000001" customHeight="1" x14ac:dyDescent="0.25"/>
    <row r="687" ht="17.100000000000001" customHeight="1" x14ac:dyDescent="0.25"/>
    <row r="688" ht="17.100000000000001" customHeight="1" x14ac:dyDescent="0.25"/>
    <row r="689" ht="17.100000000000001" customHeight="1" x14ac:dyDescent="0.25"/>
    <row r="690" ht="17.100000000000001" customHeight="1" x14ac:dyDescent="0.25"/>
    <row r="691" ht="17.100000000000001" customHeight="1" x14ac:dyDescent="0.25"/>
    <row r="692" ht="30" customHeight="1" x14ac:dyDescent="0.25"/>
    <row r="693" ht="30" customHeight="1" x14ac:dyDescent="0.25"/>
    <row r="694" ht="30" customHeight="1" x14ac:dyDescent="0.25"/>
    <row r="695" ht="17.100000000000001" customHeight="1" x14ac:dyDescent="0.25"/>
    <row r="696" ht="17.100000000000001" customHeight="1" x14ac:dyDescent="0.25"/>
    <row r="697" ht="17.100000000000001" customHeight="1" x14ac:dyDescent="0.25"/>
    <row r="698" ht="17.100000000000001" customHeight="1" x14ac:dyDescent="0.25"/>
    <row r="699" ht="30" customHeight="1" x14ac:dyDescent="0.25"/>
    <row r="700" ht="30" customHeight="1" x14ac:dyDescent="0.25"/>
    <row r="701" ht="17.100000000000001" customHeight="1" x14ac:dyDescent="0.25"/>
    <row r="702" ht="17.100000000000001" customHeight="1" x14ac:dyDescent="0.25"/>
    <row r="703" ht="17.100000000000001" customHeight="1" x14ac:dyDescent="0.25"/>
    <row r="704" ht="17.100000000000001" customHeight="1" x14ac:dyDescent="0.25"/>
    <row r="705" ht="17.100000000000001" customHeight="1" x14ac:dyDescent="0.25"/>
    <row r="706" ht="17.100000000000001" customHeight="1" x14ac:dyDescent="0.25"/>
    <row r="707" ht="17.100000000000001" customHeight="1" x14ac:dyDescent="0.25"/>
    <row r="708" ht="30" customHeight="1" x14ac:dyDescent="0.25"/>
    <row r="709" ht="30" customHeight="1" x14ac:dyDescent="0.25"/>
    <row r="710" ht="17.100000000000001" customHeight="1" x14ac:dyDescent="0.25"/>
    <row r="711" ht="17.100000000000001" customHeight="1" x14ac:dyDescent="0.25"/>
    <row r="712" ht="17.100000000000001" customHeight="1" x14ac:dyDescent="0.25"/>
    <row r="713" ht="30" customHeight="1" x14ac:dyDescent="0.25"/>
    <row r="714" ht="30" customHeight="1" x14ac:dyDescent="0.25"/>
    <row r="715" ht="17.100000000000001" customHeight="1" x14ac:dyDescent="0.25"/>
    <row r="716" ht="30" customHeight="1" x14ac:dyDescent="0.25"/>
    <row r="717" ht="17.100000000000001" customHeight="1" x14ac:dyDescent="0.25"/>
    <row r="718" ht="17.100000000000001" customHeight="1" x14ac:dyDescent="0.25"/>
    <row r="719" ht="17.100000000000001" customHeight="1" x14ac:dyDescent="0.25"/>
    <row r="720" ht="30" customHeight="1" x14ac:dyDescent="0.25"/>
    <row r="721" ht="17.100000000000001" customHeight="1" x14ac:dyDescent="0.25"/>
    <row r="722" ht="17.100000000000001" customHeight="1" x14ac:dyDescent="0.25"/>
    <row r="723" ht="17.100000000000001" customHeight="1" x14ac:dyDescent="0.25"/>
    <row r="724" ht="17.100000000000001" customHeight="1" x14ac:dyDescent="0.25"/>
    <row r="725" ht="17.100000000000001" customHeight="1" x14ac:dyDescent="0.25"/>
    <row r="726" ht="17.100000000000001" customHeight="1" x14ac:dyDescent="0.25"/>
    <row r="727" ht="17.100000000000001" customHeight="1" x14ac:dyDescent="0.25"/>
    <row r="728" ht="17.100000000000001" customHeight="1" x14ac:dyDescent="0.25"/>
    <row r="729" ht="17.100000000000001" customHeight="1" x14ac:dyDescent="0.25"/>
    <row r="730" ht="17.100000000000001" customHeight="1" x14ac:dyDescent="0.25"/>
    <row r="731" ht="17.100000000000001" customHeight="1" x14ac:dyDescent="0.25"/>
    <row r="732" ht="17.100000000000001" customHeight="1" x14ac:dyDescent="0.25"/>
    <row r="733" ht="30" customHeight="1" x14ac:dyDescent="0.25"/>
    <row r="734" ht="30" customHeight="1" x14ac:dyDescent="0.25"/>
    <row r="735" ht="17.100000000000001" customHeight="1" x14ac:dyDescent="0.25"/>
    <row r="736" ht="30" customHeight="1" x14ac:dyDescent="0.25"/>
    <row r="737" ht="17.100000000000001" customHeight="1" x14ac:dyDescent="0.25"/>
    <row r="738" ht="17.100000000000001" customHeight="1" x14ac:dyDescent="0.25"/>
    <row r="739" ht="17.100000000000001" customHeight="1" x14ac:dyDescent="0.25"/>
    <row r="740" ht="17.100000000000001" customHeight="1" x14ac:dyDescent="0.25"/>
    <row r="741" ht="17.100000000000001" customHeight="1" x14ac:dyDescent="0.25"/>
    <row r="742" ht="24.95" customHeight="1" x14ac:dyDescent="0.25"/>
  </sheetData>
  <mergeCells count="6">
    <mergeCell ref="A2:M2"/>
    <mergeCell ref="A3:A4"/>
    <mergeCell ref="B3:D3"/>
    <mergeCell ref="E3:G3"/>
    <mergeCell ref="H3:J3"/>
    <mergeCell ref="K3:M3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34"/>
  <sheetViews>
    <sheetView topLeftCell="A10" workbookViewId="0">
      <selection activeCell="H10" sqref="H10"/>
    </sheetView>
  </sheetViews>
  <sheetFormatPr defaultRowHeight="15" x14ac:dyDescent="0.25"/>
  <cols>
    <col min="1" max="1" width="22.7109375" customWidth="1"/>
    <col min="2" max="2" width="13.7109375" customWidth="1"/>
    <col min="3" max="3" width="13.5703125" customWidth="1"/>
    <col min="4" max="4" width="11.85546875" customWidth="1"/>
    <col min="5" max="5" width="13.140625" customWidth="1"/>
    <col min="7" max="7" width="15.7109375" bestFit="1" customWidth="1"/>
  </cols>
  <sheetData>
    <row r="1" spans="1:18" ht="71.099999999999994" hidden="1" customHeight="1" x14ac:dyDescent="0.25">
      <c r="A1" s="1307" t="s">
        <v>312</v>
      </c>
      <c r="B1" s="1308"/>
      <c r="C1" s="1308"/>
      <c r="D1" s="1308"/>
      <c r="E1" s="1309"/>
    </row>
    <row r="2" spans="1:18" hidden="1" x14ac:dyDescent="0.25">
      <c r="A2" s="1310"/>
      <c r="B2" s="1312" t="s">
        <v>215</v>
      </c>
      <c r="C2" s="1313"/>
      <c r="D2" s="1314" t="s">
        <v>216</v>
      </c>
      <c r="E2" s="1315"/>
    </row>
    <row r="3" spans="1:18" hidden="1" x14ac:dyDescent="0.25">
      <c r="A3" s="1311"/>
      <c r="B3" s="18" t="s">
        <v>12</v>
      </c>
      <c r="C3" s="19" t="s">
        <v>11</v>
      </c>
      <c r="D3" s="20" t="s">
        <v>12</v>
      </c>
      <c r="E3" s="21" t="s">
        <v>11</v>
      </c>
    </row>
    <row r="4" spans="1:18" hidden="1" x14ac:dyDescent="0.25">
      <c r="A4" t="s">
        <v>113</v>
      </c>
      <c r="B4" s="22">
        <v>54.983238194341617</v>
      </c>
      <c r="C4" s="23">
        <v>27.741847060937836</v>
      </c>
      <c r="D4" s="24">
        <v>407.97749232372854</v>
      </c>
      <c r="E4" s="25">
        <v>342.20867892158537</v>
      </c>
    </row>
    <row r="5" spans="1:18" hidden="1" x14ac:dyDescent="0.25">
      <c r="A5" t="s">
        <v>114</v>
      </c>
      <c r="B5" s="26">
        <v>154.86718727850501</v>
      </c>
      <c r="C5" s="27">
        <v>280.13275862086715</v>
      </c>
      <c r="D5" s="28">
        <v>93.276093235349478</v>
      </c>
      <c r="E5" s="29">
        <v>195.46294040465509</v>
      </c>
    </row>
    <row r="6" spans="1:18" hidden="1" x14ac:dyDescent="0.25">
      <c r="A6" t="s">
        <v>115</v>
      </c>
      <c r="B6" s="26">
        <v>49.231381527226333</v>
      </c>
      <c r="C6" s="27">
        <v>39.53347905334315</v>
      </c>
      <c r="D6" s="28">
        <v>1.8250179010115153</v>
      </c>
      <c r="E6" s="29">
        <v>2.8578201911974408</v>
      </c>
    </row>
    <row r="7" spans="1:18" hidden="1" x14ac:dyDescent="0.25">
      <c r="A7" t="s">
        <v>116</v>
      </c>
      <c r="B7" s="26">
        <v>721.61476700482012</v>
      </c>
      <c r="C7" s="27">
        <v>718.93910848228188</v>
      </c>
      <c r="D7" s="28">
        <v>645.50245333266764</v>
      </c>
      <c r="E7" s="29">
        <v>650.3178187089411</v>
      </c>
    </row>
    <row r="8" spans="1:18" hidden="1" x14ac:dyDescent="0.25">
      <c r="A8" t="s">
        <v>168</v>
      </c>
      <c r="B8" s="26">
        <v>457.67547402932479</v>
      </c>
      <c r="C8" s="27">
        <v>372.84718805629439</v>
      </c>
      <c r="D8" s="28">
        <v>290.23148475114272</v>
      </c>
      <c r="E8" s="29">
        <v>248.44069562331336</v>
      </c>
    </row>
    <row r="9" spans="1:18" hidden="1" x14ac:dyDescent="0.25">
      <c r="A9" s="40" t="s">
        <v>118</v>
      </c>
      <c r="B9" s="30">
        <v>1.6279519657816284</v>
      </c>
      <c r="C9" s="31">
        <v>0.80561872627489972</v>
      </c>
      <c r="D9" s="32">
        <v>1.1874584561007449</v>
      </c>
      <c r="E9" s="33">
        <v>0.71204615030792484</v>
      </c>
    </row>
    <row r="10" spans="1:18" ht="23.25" customHeight="1" x14ac:dyDescent="0.25">
      <c r="A10" s="40"/>
      <c r="B10" s="443"/>
      <c r="C10" s="444"/>
      <c r="D10" s="445"/>
      <c r="E10" s="446"/>
    </row>
    <row r="11" spans="1:18" ht="39.75" customHeight="1" x14ac:dyDescent="0.25">
      <c r="A11" s="1316" t="s">
        <v>492</v>
      </c>
      <c r="B11" s="1317"/>
      <c r="C11" s="1317"/>
      <c r="D11" s="1317"/>
      <c r="E11" s="1317"/>
      <c r="H11" s="1300" t="s">
        <v>493</v>
      </c>
      <c r="I11" s="1300"/>
      <c r="J11" s="1300"/>
      <c r="K11" s="1300"/>
      <c r="L11" s="1300"/>
      <c r="M11" s="1300"/>
      <c r="N11" s="1300"/>
      <c r="O11" s="1300"/>
      <c r="P11" s="1300"/>
      <c r="Q11" s="1300"/>
      <c r="R11" s="1300"/>
    </row>
    <row r="12" spans="1:18" ht="15.75" thickBot="1" x14ac:dyDescent="0.3"/>
    <row r="13" spans="1:18" x14ac:dyDescent="0.25">
      <c r="A13" s="1301"/>
      <c r="B13" s="1303" t="s">
        <v>215</v>
      </c>
      <c r="C13" s="1304"/>
      <c r="D13" s="1305" t="s">
        <v>216</v>
      </c>
      <c r="E13" s="1306"/>
    </row>
    <row r="14" spans="1:18" ht="15.75" thickBot="1" x14ac:dyDescent="0.3">
      <c r="A14" s="1302"/>
      <c r="B14" s="874" t="s">
        <v>12</v>
      </c>
      <c r="C14" s="875" t="s">
        <v>11</v>
      </c>
      <c r="D14" s="876" t="s">
        <v>12</v>
      </c>
      <c r="E14" s="877" t="s">
        <v>11</v>
      </c>
    </row>
    <row r="15" spans="1:18" x14ac:dyDescent="0.25">
      <c r="A15" s="528" t="s">
        <v>113</v>
      </c>
      <c r="B15" s="878">
        <v>0.91638730323902695</v>
      </c>
      <c r="C15" s="879">
        <v>0.46236411768229729</v>
      </c>
      <c r="D15" s="880">
        <v>6.7996248720621422</v>
      </c>
      <c r="E15" s="879">
        <v>5.7034779820264232</v>
      </c>
    </row>
    <row r="16" spans="1:18" x14ac:dyDescent="0.25">
      <c r="A16" s="531" t="s">
        <v>114</v>
      </c>
      <c r="B16" s="881">
        <v>2.5811197879750836</v>
      </c>
      <c r="C16" s="882">
        <v>4.6688793103477861</v>
      </c>
      <c r="D16" s="883">
        <v>1.5546015539224913</v>
      </c>
      <c r="E16" s="882">
        <v>3.2577156734109183</v>
      </c>
    </row>
    <row r="17" spans="1:5" x14ac:dyDescent="0.25">
      <c r="A17" s="531" t="s">
        <v>115</v>
      </c>
      <c r="B17" s="881">
        <v>0.8205230254537722</v>
      </c>
      <c r="C17" s="882">
        <v>0.65889131755571917</v>
      </c>
      <c r="D17" s="883">
        <v>3.0416965016858588E-2</v>
      </c>
      <c r="E17" s="882">
        <v>4.7630336519957343E-2</v>
      </c>
    </row>
    <row r="18" spans="1:5" x14ac:dyDescent="0.25">
      <c r="A18" s="531" t="s">
        <v>116</v>
      </c>
      <c r="B18" s="881">
        <v>12.026912783413669</v>
      </c>
      <c r="C18" s="882">
        <v>11.982318474704698</v>
      </c>
      <c r="D18" s="883">
        <v>10.758374222211128</v>
      </c>
      <c r="E18" s="882">
        <v>10.838630311815685</v>
      </c>
    </row>
    <row r="19" spans="1:5" x14ac:dyDescent="0.25">
      <c r="A19" s="531" t="s">
        <v>117</v>
      </c>
      <c r="B19" s="881">
        <v>7.6279245671554134</v>
      </c>
      <c r="C19" s="882">
        <v>6.2141198009382395</v>
      </c>
      <c r="D19" s="883">
        <v>4.8371914125190454</v>
      </c>
      <c r="E19" s="882">
        <v>4.1406782603885564</v>
      </c>
    </row>
    <row r="20" spans="1:5" ht="15.75" thickBot="1" x14ac:dyDescent="0.3">
      <c r="A20" s="553" t="s">
        <v>118</v>
      </c>
      <c r="B20" s="884">
        <v>2.7132532763027139E-2</v>
      </c>
      <c r="C20" s="885">
        <v>1.3426978771248328E-2</v>
      </c>
      <c r="D20" s="886">
        <v>1.9790974268345748E-2</v>
      </c>
      <c r="E20" s="885">
        <v>1.1867435838465414E-2</v>
      </c>
    </row>
    <row r="32" spans="1:5" ht="31.5" customHeight="1" x14ac:dyDescent="0.25"/>
    <row r="34" ht="15" customHeight="1" x14ac:dyDescent="0.25"/>
  </sheetData>
  <mergeCells count="9">
    <mergeCell ref="H11:R11"/>
    <mergeCell ref="A13:A14"/>
    <mergeCell ref="B13:C13"/>
    <mergeCell ref="D13:E13"/>
    <mergeCell ref="A1:E1"/>
    <mergeCell ref="A2:A3"/>
    <mergeCell ref="B2:C2"/>
    <mergeCell ref="D2:E2"/>
    <mergeCell ref="A11:E11"/>
  </mergeCells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  <pageSetUpPr fitToPage="1"/>
  </sheetPr>
  <dimension ref="A1:J743"/>
  <sheetViews>
    <sheetView workbookViewId="0"/>
  </sheetViews>
  <sheetFormatPr defaultRowHeight="15" x14ac:dyDescent="0.25"/>
  <cols>
    <col min="1" max="1" width="21.85546875" customWidth="1"/>
    <col min="2" max="10" width="12.7109375" customWidth="1"/>
  </cols>
  <sheetData>
    <row r="1" spans="1:10" ht="19.5" customHeight="1" x14ac:dyDescent="0.25"/>
    <row r="2" spans="1:10" ht="33.75" customHeight="1" thickBot="1" x14ac:dyDescent="0.3">
      <c r="A2" s="1318" t="s">
        <v>604</v>
      </c>
      <c r="B2" s="1319"/>
      <c r="C2" s="1319"/>
      <c r="D2" s="1319"/>
      <c r="E2" s="1319"/>
      <c r="F2" s="1319"/>
      <c r="G2" s="1319"/>
      <c r="H2" s="1319"/>
      <c r="I2" s="1319"/>
      <c r="J2" s="1319"/>
    </row>
    <row r="3" spans="1:10" ht="15.95" customHeight="1" x14ac:dyDescent="0.25">
      <c r="A3" s="1320"/>
      <c r="B3" s="1322" t="s">
        <v>216</v>
      </c>
      <c r="C3" s="1323"/>
      <c r="D3" s="1324"/>
      <c r="E3" s="1325" t="s">
        <v>215</v>
      </c>
      <c r="F3" s="1323"/>
      <c r="G3" s="1326"/>
      <c r="H3" s="1327" t="s">
        <v>83</v>
      </c>
      <c r="I3" s="1323"/>
      <c r="J3" s="1326"/>
    </row>
    <row r="4" spans="1:10" ht="20.25" customHeight="1" thickBot="1" x14ac:dyDescent="0.3">
      <c r="A4" s="1321"/>
      <c r="B4" s="569" t="s">
        <v>101</v>
      </c>
      <c r="C4" s="442" t="s">
        <v>102</v>
      </c>
      <c r="D4" s="887" t="s">
        <v>103</v>
      </c>
      <c r="E4" s="895" t="s">
        <v>101</v>
      </c>
      <c r="F4" s="442" t="s">
        <v>102</v>
      </c>
      <c r="G4" s="568" t="s">
        <v>103</v>
      </c>
      <c r="H4" s="891" t="s">
        <v>101</v>
      </c>
      <c r="I4" s="442" t="s">
        <v>102</v>
      </c>
      <c r="J4" s="568" t="s">
        <v>103</v>
      </c>
    </row>
    <row r="5" spans="1:10" ht="17.100000000000001" customHeight="1" x14ac:dyDescent="0.25">
      <c r="A5" s="570" t="s">
        <v>113</v>
      </c>
      <c r="B5" s="571">
        <v>71.843749701062293</v>
      </c>
      <c r="C5" s="572">
        <v>79.614020476083127</v>
      </c>
      <c r="D5" s="888">
        <v>76.242098454459494</v>
      </c>
      <c r="E5" s="896">
        <v>9.9625825579168392</v>
      </c>
      <c r="F5" s="572">
        <v>15.299218209439992</v>
      </c>
      <c r="G5" s="573">
        <v>12.186341120902361</v>
      </c>
      <c r="H5" s="892">
        <v>32.705974824621535</v>
      </c>
      <c r="I5" s="572">
        <v>48.409508382370731</v>
      </c>
      <c r="J5" s="573">
        <v>40.278143566876523</v>
      </c>
    </row>
    <row r="6" spans="1:10" ht="17.100000000000001" customHeight="1" x14ac:dyDescent="0.25">
      <c r="A6" s="574" t="s">
        <v>114</v>
      </c>
      <c r="B6" s="575">
        <v>93.57986727455517</v>
      </c>
      <c r="C6" s="576">
        <v>74.85350559946194</v>
      </c>
      <c r="D6" s="889">
        <v>82.979841623700111</v>
      </c>
      <c r="E6" s="897">
        <v>93.156791141087197</v>
      </c>
      <c r="F6" s="576">
        <v>79.257007795360309</v>
      </c>
      <c r="G6" s="577">
        <v>87.364797035235057</v>
      </c>
      <c r="H6" s="893">
        <v>93.312285727022811</v>
      </c>
      <c r="I6" s="576">
        <v>76.990014345254437</v>
      </c>
      <c r="J6" s="577">
        <v>85.441764566602913</v>
      </c>
    </row>
    <row r="7" spans="1:10" ht="17.100000000000001" customHeight="1" x14ac:dyDescent="0.25">
      <c r="A7" s="574" t="s">
        <v>115</v>
      </c>
      <c r="B7" s="575">
        <v>1.8922425752391918</v>
      </c>
      <c r="C7" s="576">
        <v>1.3050046092690106</v>
      </c>
      <c r="D7" s="889">
        <v>1.5598375084974185</v>
      </c>
      <c r="E7" s="897">
        <v>12.129843944211979</v>
      </c>
      <c r="F7" s="576">
        <v>13.722191810898925</v>
      </c>
      <c r="G7" s="577">
        <v>12.793370074721937</v>
      </c>
      <c r="H7" s="893">
        <v>8.367184082511324</v>
      </c>
      <c r="I7" s="576">
        <v>7.3296249850999073</v>
      </c>
      <c r="J7" s="577">
        <v>7.866878050319964</v>
      </c>
    </row>
    <row r="8" spans="1:10" ht="17.100000000000001" customHeight="1" x14ac:dyDescent="0.25">
      <c r="A8" s="574" t="s">
        <v>116</v>
      </c>
      <c r="B8" s="575">
        <v>100</v>
      </c>
      <c r="C8" s="576">
        <v>100</v>
      </c>
      <c r="D8" s="889">
        <v>100</v>
      </c>
      <c r="E8" s="897">
        <v>100</v>
      </c>
      <c r="F8" s="576">
        <v>100</v>
      </c>
      <c r="G8" s="577">
        <v>100</v>
      </c>
      <c r="H8" s="893">
        <v>100</v>
      </c>
      <c r="I8" s="576">
        <v>100</v>
      </c>
      <c r="J8" s="577">
        <v>100</v>
      </c>
    </row>
    <row r="9" spans="1:10" ht="17.100000000000001" customHeight="1" x14ac:dyDescent="0.25">
      <c r="A9" s="574" t="s">
        <v>117</v>
      </c>
      <c r="B9" s="575">
        <v>97.679275082059377</v>
      </c>
      <c r="C9" s="576">
        <v>98.484153249393557</v>
      </c>
      <c r="D9" s="889">
        <v>98.134875020135212</v>
      </c>
      <c r="E9" s="897">
        <v>99.738162968086755</v>
      </c>
      <c r="F9" s="576">
        <v>99.684107937529262</v>
      </c>
      <c r="G9" s="577">
        <v>99.715638414243486</v>
      </c>
      <c r="H9" s="893">
        <v>98.981453019213816</v>
      </c>
      <c r="I9" s="576">
        <v>99.066352047464818</v>
      </c>
      <c r="J9" s="577">
        <v>99.022390924406182</v>
      </c>
    </row>
    <row r="10" spans="1:10" ht="17.100000000000001" customHeight="1" thickBot="1" x14ac:dyDescent="0.3">
      <c r="A10" s="578" t="s">
        <v>118</v>
      </c>
      <c r="B10" s="579">
        <v>2.4657893424011306</v>
      </c>
      <c r="C10" s="580">
        <v>4.2006243863325183</v>
      </c>
      <c r="D10" s="890">
        <v>3.4477898123660906</v>
      </c>
      <c r="E10" s="898">
        <v>2.8465191015972779</v>
      </c>
      <c r="F10" s="580">
        <v>3.9576202517179926</v>
      </c>
      <c r="G10" s="581">
        <v>3.309511304600476</v>
      </c>
      <c r="H10" s="894">
        <v>2.7065882201875042</v>
      </c>
      <c r="I10" s="580">
        <v>4.0827226717946834</v>
      </c>
      <c r="J10" s="581">
        <v>3.3701536681346074</v>
      </c>
    </row>
    <row r="11" spans="1:10" x14ac:dyDescent="0.25">
      <c r="A11" s="440"/>
      <c r="B11" s="441"/>
      <c r="C11" s="441"/>
      <c r="D11" s="441"/>
      <c r="E11" s="441"/>
      <c r="F11" s="441"/>
      <c r="G11" s="441"/>
      <c r="H11" s="441"/>
      <c r="I11" s="441"/>
      <c r="J11" s="441"/>
    </row>
    <row r="13" spans="1:10" ht="21" customHeight="1" x14ac:dyDescent="0.25"/>
    <row r="14" spans="1:10" ht="15.95" customHeight="1" x14ac:dyDescent="0.25"/>
    <row r="15" spans="1:10" ht="15.95" customHeight="1" x14ac:dyDescent="0.25"/>
    <row r="16" spans="1:10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20" ht="17.100000000000001" customHeight="1" x14ac:dyDescent="0.25"/>
    <row r="21" ht="17.100000000000001" customHeight="1" x14ac:dyDescent="0.25"/>
    <row r="22" ht="17.100000000000001" customHeight="1" x14ac:dyDescent="0.25"/>
    <row r="23" ht="24.95" customHeight="1" x14ac:dyDescent="0.25"/>
    <row r="25" ht="21" customHeight="1" x14ac:dyDescent="0.25"/>
    <row r="26" ht="15.95" customHeight="1" x14ac:dyDescent="0.25"/>
    <row r="27" ht="15.95" customHeight="1" x14ac:dyDescent="0.25"/>
    <row r="28" ht="17.100000000000001" customHeight="1" x14ac:dyDescent="0.25"/>
    <row r="29" ht="17.100000000000001" customHeight="1" x14ac:dyDescent="0.25"/>
    <row r="30" ht="17.100000000000001" customHeight="1" x14ac:dyDescent="0.25"/>
    <row r="31" ht="17.100000000000001" customHeight="1" x14ac:dyDescent="0.25"/>
    <row r="32" ht="17.100000000000001" customHeight="1" x14ac:dyDescent="0.25"/>
    <row r="33" ht="17.100000000000001" customHeight="1" x14ac:dyDescent="0.25"/>
    <row r="34" ht="17.100000000000001" customHeight="1" x14ac:dyDescent="0.25"/>
    <row r="35" ht="24.95" customHeight="1" x14ac:dyDescent="0.25"/>
    <row r="37" ht="21" customHeight="1" x14ac:dyDescent="0.25"/>
    <row r="38" ht="15.95" customHeight="1" x14ac:dyDescent="0.25"/>
    <row r="39" ht="15.95" customHeight="1" x14ac:dyDescent="0.25"/>
    <row r="40" ht="17.100000000000001" customHeight="1" x14ac:dyDescent="0.25"/>
    <row r="41" ht="17.100000000000001" customHeight="1" x14ac:dyDescent="0.25"/>
    <row r="42" ht="17.100000000000001" customHeight="1" x14ac:dyDescent="0.25"/>
    <row r="43" ht="17.100000000000001" customHeight="1" x14ac:dyDescent="0.25"/>
    <row r="44" ht="17.100000000000001" customHeight="1" x14ac:dyDescent="0.25"/>
    <row r="45" ht="17.100000000000001" customHeight="1" x14ac:dyDescent="0.25"/>
    <row r="46" ht="17.100000000000001" customHeight="1" x14ac:dyDescent="0.25"/>
    <row r="47" ht="24.95" customHeight="1" x14ac:dyDescent="0.25"/>
    <row r="49" ht="21" customHeight="1" x14ac:dyDescent="0.25"/>
    <row r="50" ht="15.95" customHeight="1" x14ac:dyDescent="0.25"/>
    <row r="51" ht="15.95" customHeight="1" x14ac:dyDescent="0.25"/>
    <row r="52" ht="17.100000000000001" customHeight="1" x14ac:dyDescent="0.25"/>
    <row r="53" ht="17.100000000000001" customHeight="1" x14ac:dyDescent="0.25"/>
    <row r="54" ht="17.100000000000001" customHeight="1" x14ac:dyDescent="0.25"/>
    <row r="55" ht="17.100000000000001" customHeight="1" x14ac:dyDescent="0.25"/>
    <row r="56" ht="17.100000000000001" customHeight="1" x14ac:dyDescent="0.25"/>
    <row r="57" ht="17.100000000000001" customHeight="1" x14ac:dyDescent="0.25"/>
    <row r="58" ht="17.100000000000001" customHeight="1" x14ac:dyDescent="0.25"/>
    <row r="59" ht="17.100000000000001" customHeight="1" x14ac:dyDescent="0.25"/>
    <row r="60" ht="17.100000000000001" customHeight="1" x14ac:dyDescent="0.25"/>
    <row r="61" ht="17.100000000000001" customHeight="1" x14ac:dyDescent="0.25"/>
    <row r="62" ht="17.100000000000001" customHeight="1" x14ac:dyDescent="0.25"/>
    <row r="63" ht="17.100000000000001" customHeight="1" x14ac:dyDescent="0.25"/>
    <row r="64" ht="17.100000000000001" customHeight="1" x14ac:dyDescent="0.25"/>
    <row r="65" ht="17.100000000000001" customHeight="1" x14ac:dyDescent="0.25"/>
    <row r="66" ht="17.100000000000001" customHeight="1" x14ac:dyDescent="0.25"/>
    <row r="67" ht="17.100000000000001" customHeight="1" x14ac:dyDescent="0.25"/>
    <row r="68" ht="17.100000000000001" customHeight="1" x14ac:dyDescent="0.25"/>
    <row r="69" ht="17.100000000000001" customHeight="1" x14ac:dyDescent="0.25"/>
    <row r="70" ht="17.100000000000001" customHeight="1" x14ac:dyDescent="0.25"/>
    <row r="71" ht="17.100000000000001" customHeight="1" x14ac:dyDescent="0.25"/>
    <row r="72" ht="17.100000000000001" customHeight="1" x14ac:dyDescent="0.25"/>
    <row r="73" ht="17.100000000000001" customHeight="1" x14ac:dyDescent="0.25"/>
    <row r="74" ht="17.100000000000001" customHeight="1" x14ac:dyDescent="0.25"/>
    <row r="75" ht="17.100000000000001" customHeight="1" x14ac:dyDescent="0.25"/>
    <row r="76" ht="17.100000000000001" customHeight="1" x14ac:dyDescent="0.25"/>
    <row r="77" ht="17.100000000000001" customHeight="1" x14ac:dyDescent="0.25"/>
    <row r="78" ht="17.100000000000001" customHeight="1" x14ac:dyDescent="0.25"/>
    <row r="79" ht="17.100000000000001" customHeight="1" x14ac:dyDescent="0.25"/>
    <row r="80" ht="17.100000000000001" customHeight="1" x14ac:dyDescent="0.25"/>
    <row r="81" ht="17.100000000000001" customHeight="1" x14ac:dyDescent="0.25"/>
    <row r="82" ht="17.100000000000001" customHeight="1" x14ac:dyDescent="0.25"/>
    <row r="83" ht="17.100000000000001" customHeight="1" x14ac:dyDescent="0.25"/>
    <row r="84" ht="17.100000000000001" customHeight="1" x14ac:dyDescent="0.25"/>
    <row r="85" ht="17.100000000000001" customHeight="1" x14ac:dyDescent="0.25"/>
    <row r="86" ht="17.100000000000001" customHeight="1" x14ac:dyDescent="0.25"/>
    <row r="87" ht="17.100000000000001" customHeight="1" x14ac:dyDescent="0.25"/>
    <row r="88" ht="17.100000000000001" customHeight="1" x14ac:dyDescent="0.25"/>
    <row r="89" ht="17.100000000000001" customHeight="1" x14ac:dyDescent="0.25"/>
    <row r="90" ht="17.100000000000001" customHeight="1" x14ac:dyDescent="0.25"/>
    <row r="91" ht="17.100000000000001" customHeight="1" x14ac:dyDescent="0.25"/>
    <row r="92" ht="17.100000000000001" customHeight="1" x14ac:dyDescent="0.25"/>
    <row r="93" ht="30" customHeight="1" x14ac:dyDescent="0.25"/>
    <row r="94" ht="17.100000000000001" customHeight="1" x14ac:dyDescent="0.25"/>
    <row r="95" ht="30" customHeight="1" x14ac:dyDescent="0.25"/>
    <row r="96" ht="17.100000000000001" customHeight="1" x14ac:dyDescent="0.25"/>
    <row r="97" ht="17.100000000000001" customHeight="1" x14ac:dyDescent="0.25"/>
    <row r="98" ht="17.100000000000001" customHeight="1" x14ac:dyDescent="0.25"/>
    <row r="99" ht="24.95" customHeight="1" x14ac:dyDescent="0.25"/>
    <row r="101" ht="21" customHeight="1" x14ac:dyDescent="0.25"/>
    <row r="102" ht="15.95" customHeight="1" x14ac:dyDescent="0.25"/>
    <row r="103" ht="15.95" customHeight="1" x14ac:dyDescent="0.25"/>
    <row r="104" ht="17.100000000000001" customHeight="1" x14ac:dyDescent="0.25"/>
    <row r="105" ht="17.100000000000001" customHeight="1" x14ac:dyDescent="0.25"/>
    <row r="106" ht="17.100000000000001" customHeight="1" x14ac:dyDescent="0.25"/>
    <row r="107" ht="17.100000000000001" customHeight="1" x14ac:dyDescent="0.25"/>
    <row r="108" ht="17.100000000000001" customHeight="1" x14ac:dyDescent="0.25"/>
    <row r="109" ht="17.100000000000001" customHeight="1" x14ac:dyDescent="0.25"/>
    <row r="110" ht="17.100000000000001" customHeight="1" x14ac:dyDescent="0.25"/>
    <row r="111" ht="17.100000000000001" customHeight="1" x14ac:dyDescent="0.25"/>
    <row r="112" ht="17.100000000000001" customHeight="1" x14ac:dyDescent="0.25"/>
    <row r="113" ht="17.100000000000001" customHeight="1" x14ac:dyDescent="0.25"/>
    <row r="114" ht="17.100000000000001" customHeight="1" x14ac:dyDescent="0.25"/>
    <row r="115" ht="17.100000000000001" customHeight="1" x14ac:dyDescent="0.25"/>
    <row r="116" ht="17.100000000000001" customHeight="1" x14ac:dyDescent="0.25"/>
    <row r="117" ht="17.100000000000001" customHeight="1" x14ac:dyDescent="0.25"/>
    <row r="118" ht="17.100000000000001" customHeight="1" x14ac:dyDescent="0.25"/>
    <row r="119" ht="17.100000000000001" customHeight="1" x14ac:dyDescent="0.25"/>
    <row r="120" ht="17.100000000000001" customHeight="1" x14ac:dyDescent="0.25"/>
    <row r="121" ht="17.100000000000001" customHeight="1" x14ac:dyDescent="0.25"/>
    <row r="122" ht="17.100000000000001" customHeight="1" x14ac:dyDescent="0.25"/>
    <row r="123" ht="17.100000000000001" customHeight="1" x14ac:dyDescent="0.25"/>
    <row r="124" ht="17.100000000000001" customHeight="1" x14ac:dyDescent="0.25"/>
    <row r="125" ht="17.100000000000001" customHeight="1" x14ac:dyDescent="0.25"/>
    <row r="126" ht="17.100000000000001" customHeight="1" x14ac:dyDescent="0.25"/>
    <row r="127" ht="17.100000000000001" customHeight="1" x14ac:dyDescent="0.25"/>
    <row r="128" ht="17.100000000000001" customHeight="1" x14ac:dyDescent="0.25"/>
    <row r="129" ht="17.100000000000001" customHeight="1" x14ac:dyDescent="0.25"/>
    <row r="130" ht="17.100000000000001" customHeight="1" x14ac:dyDescent="0.25"/>
    <row r="131" ht="17.100000000000001" customHeight="1" x14ac:dyDescent="0.25"/>
    <row r="132" ht="17.100000000000001" customHeight="1" x14ac:dyDescent="0.25"/>
    <row r="133" ht="17.100000000000001" customHeight="1" x14ac:dyDescent="0.25"/>
    <row r="134" ht="17.100000000000001" customHeight="1" x14ac:dyDescent="0.25"/>
    <row r="135" ht="17.100000000000001" customHeight="1" x14ac:dyDescent="0.25"/>
    <row r="136" ht="17.100000000000001" customHeight="1" x14ac:dyDescent="0.25"/>
    <row r="137" ht="17.100000000000001" customHeight="1" x14ac:dyDescent="0.25"/>
    <row r="138" ht="17.100000000000001" customHeight="1" x14ac:dyDescent="0.25"/>
    <row r="139" ht="17.100000000000001" customHeight="1" x14ac:dyDescent="0.25"/>
    <row r="140" ht="17.100000000000001" customHeight="1" x14ac:dyDescent="0.25"/>
    <row r="141" ht="17.100000000000001" customHeight="1" x14ac:dyDescent="0.25"/>
    <row r="142" ht="17.100000000000001" customHeight="1" x14ac:dyDescent="0.25"/>
    <row r="143" ht="17.100000000000001" customHeight="1" x14ac:dyDescent="0.25"/>
    <row r="144" ht="17.100000000000001" customHeight="1" x14ac:dyDescent="0.25"/>
    <row r="145" ht="30" customHeight="1" x14ac:dyDescent="0.25"/>
    <row r="146" ht="17.100000000000001" customHeight="1" x14ac:dyDescent="0.25"/>
    <row r="147" ht="30" customHeight="1" x14ac:dyDescent="0.25"/>
    <row r="148" ht="17.100000000000001" customHeight="1" x14ac:dyDescent="0.25"/>
    <row r="149" ht="17.100000000000001" customHeight="1" x14ac:dyDescent="0.25"/>
    <row r="150" ht="17.100000000000001" customHeight="1" x14ac:dyDescent="0.25"/>
    <row r="151" ht="24.95" customHeight="1" x14ac:dyDescent="0.25"/>
    <row r="153" ht="21" customHeight="1" x14ac:dyDescent="0.25"/>
    <row r="154" ht="15.95" customHeight="1" x14ac:dyDescent="0.25"/>
    <row r="155" ht="15.95" customHeight="1" x14ac:dyDescent="0.25"/>
    <row r="156" ht="17.100000000000001" customHeight="1" x14ac:dyDescent="0.25"/>
    <row r="157" ht="17.100000000000001" customHeight="1" x14ac:dyDescent="0.25"/>
    <row r="158" ht="17.100000000000001" customHeight="1" x14ac:dyDescent="0.25"/>
    <row r="159" ht="17.100000000000001" customHeight="1" x14ac:dyDescent="0.25"/>
    <row r="160" ht="17.100000000000001" customHeight="1" x14ac:dyDescent="0.25"/>
    <row r="161" ht="17.100000000000001" customHeight="1" x14ac:dyDescent="0.25"/>
    <row r="162" ht="17.100000000000001" customHeight="1" x14ac:dyDescent="0.25"/>
    <row r="163" ht="17.100000000000001" customHeight="1" x14ac:dyDescent="0.25"/>
    <row r="164" ht="17.100000000000001" customHeight="1" x14ac:dyDescent="0.25"/>
    <row r="165" ht="17.100000000000001" customHeight="1" x14ac:dyDescent="0.25"/>
    <row r="166" ht="17.100000000000001" customHeight="1" x14ac:dyDescent="0.25"/>
    <row r="167" ht="17.100000000000001" customHeight="1" x14ac:dyDescent="0.25"/>
    <row r="168" ht="17.100000000000001" customHeight="1" x14ac:dyDescent="0.25"/>
    <row r="169" ht="17.100000000000001" customHeight="1" x14ac:dyDescent="0.25"/>
    <row r="170" ht="17.100000000000001" customHeight="1" x14ac:dyDescent="0.25"/>
    <row r="171" ht="17.100000000000001" customHeight="1" x14ac:dyDescent="0.25"/>
    <row r="172" ht="17.100000000000001" customHeight="1" x14ac:dyDescent="0.25"/>
    <row r="173" ht="17.100000000000001" customHeight="1" x14ac:dyDescent="0.25"/>
    <row r="174" ht="17.100000000000001" customHeight="1" x14ac:dyDescent="0.25"/>
    <row r="175" ht="17.100000000000001" customHeight="1" x14ac:dyDescent="0.25"/>
    <row r="176" ht="17.100000000000001" customHeight="1" x14ac:dyDescent="0.25"/>
    <row r="177" ht="17.100000000000001" customHeight="1" x14ac:dyDescent="0.25"/>
    <row r="178" ht="17.100000000000001" customHeight="1" x14ac:dyDescent="0.25"/>
    <row r="179" ht="17.100000000000001" customHeight="1" x14ac:dyDescent="0.25"/>
    <row r="180" ht="17.100000000000001" customHeight="1" x14ac:dyDescent="0.25"/>
    <row r="181" ht="17.100000000000001" customHeight="1" x14ac:dyDescent="0.25"/>
    <row r="182" ht="17.100000000000001" customHeight="1" x14ac:dyDescent="0.25"/>
    <row r="183" ht="17.100000000000001" customHeight="1" x14ac:dyDescent="0.25"/>
    <row r="184" ht="17.100000000000001" customHeight="1" x14ac:dyDescent="0.25"/>
    <row r="185" ht="17.100000000000001" customHeight="1" x14ac:dyDescent="0.25"/>
    <row r="186" ht="17.100000000000001" customHeight="1" x14ac:dyDescent="0.25"/>
    <row r="187" ht="17.100000000000001" customHeight="1" x14ac:dyDescent="0.25"/>
    <row r="188" ht="17.100000000000001" customHeight="1" x14ac:dyDescent="0.25"/>
    <row r="189" ht="17.100000000000001" customHeight="1" x14ac:dyDescent="0.25"/>
    <row r="190" ht="17.100000000000001" customHeight="1" x14ac:dyDescent="0.25"/>
    <row r="191" ht="17.100000000000001" customHeight="1" x14ac:dyDescent="0.25"/>
    <row r="192" ht="17.100000000000001" customHeight="1" x14ac:dyDescent="0.25"/>
    <row r="193" ht="17.100000000000001" customHeight="1" x14ac:dyDescent="0.25"/>
    <row r="194" ht="17.100000000000001" customHeight="1" x14ac:dyDescent="0.25"/>
    <row r="195" ht="17.100000000000001" customHeight="1" x14ac:dyDescent="0.25"/>
    <row r="196" ht="17.100000000000001" customHeight="1" x14ac:dyDescent="0.25"/>
    <row r="197" ht="30" customHeight="1" x14ac:dyDescent="0.25"/>
    <row r="198" ht="17.100000000000001" customHeight="1" x14ac:dyDescent="0.25"/>
    <row r="199" ht="30" customHeight="1" x14ac:dyDescent="0.25"/>
    <row r="200" ht="17.100000000000001" customHeight="1" x14ac:dyDescent="0.25"/>
    <row r="201" ht="17.100000000000001" customHeight="1" x14ac:dyDescent="0.25"/>
    <row r="202" ht="17.100000000000001" customHeight="1" x14ac:dyDescent="0.25"/>
    <row r="203" ht="24.95" customHeight="1" x14ac:dyDescent="0.25"/>
    <row r="205" ht="21" customHeight="1" x14ac:dyDescent="0.25"/>
    <row r="206" ht="15.95" customHeight="1" x14ac:dyDescent="0.25"/>
    <row r="207" ht="15.95" customHeight="1" x14ac:dyDescent="0.25"/>
    <row r="208" ht="17.100000000000001" customHeight="1" x14ac:dyDescent="0.25"/>
    <row r="209" ht="17.100000000000001" customHeight="1" x14ac:dyDescent="0.25"/>
    <row r="210" ht="17.100000000000001" customHeight="1" x14ac:dyDescent="0.25"/>
    <row r="211" ht="17.100000000000001" customHeight="1" x14ac:dyDescent="0.25"/>
    <row r="212" ht="17.100000000000001" customHeight="1" x14ac:dyDescent="0.25"/>
    <row r="213" ht="17.100000000000001" customHeight="1" x14ac:dyDescent="0.25"/>
    <row r="214" ht="17.100000000000001" customHeight="1" x14ac:dyDescent="0.25"/>
    <row r="215" ht="17.100000000000001" customHeight="1" x14ac:dyDescent="0.25"/>
    <row r="216" ht="17.100000000000001" customHeight="1" x14ac:dyDescent="0.25"/>
    <row r="217" ht="17.100000000000001" customHeight="1" x14ac:dyDescent="0.25"/>
    <row r="218" ht="17.100000000000001" customHeight="1" x14ac:dyDescent="0.25"/>
    <row r="219" ht="17.100000000000001" customHeight="1" x14ac:dyDescent="0.25"/>
    <row r="220" ht="17.100000000000001" customHeight="1" x14ac:dyDescent="0.25"/>
    <row r="221" ht="17.100000000000001" customHeight="1" x14ac:dyDescent="0.25"/>
    <row r="222" ht="17.100000000000001" customHeight="1" x14ac:dyDescent="0.25"/>
    <row r="223" ht="17.100000000000001" customHeight="1" x14ac:dyDescent="0.25"/>
    <row r="224" ht="17.100000000000001" customHeight="1" x14ac:dyDescent="0.25"/>
    <row r="225" ht="17.100000000000001" customHeight="1" x14ac:dyDescent="0.25"/>
    <row r="226" ht="17.100000000000001" customHeight="1" x14ac:dyDescent="0.25"/>
    <row r="227" ht="17.100000000000001" customHeight="1" x14ac:dyDescent="0.25"/>
    <row r="228" ht="17.100000000000001" customHeight="1" x14ac:dyDescent="0.25"/>
    <row r="229" ht="17.100000000000001" customHeight="1" x14ac:dyDescent="0.25"/>
    <row r="230" ht="17.100000000000001" customHeight="1" x14ac:dyDescent="0.25"/>
    <row r="231" ht="17.100000000000001" customHeight="1" x14ac:dyDescent="0.25"/>
    <row r="232" ht="17.100000000000001" customHeight="1" x14ac:dyDescent="0.25"/>
    <row r="233" ht="17.100000000000001" customHeight="1" x14ac:dyDescent="0.25"/>
    <row r="234" ht="17.100000000000001" customHeight="1" x14ac:dyDescent="0.25"/>
    <row r="235" ht="17.100000000000001" customHeight="1" x14ac:dyDescent="0.25"/>
    <row r="236" ht="17.100000000000001" customHeight="1" x14ac:dyDescent="0.25"/>
    <row r="237" ht="17.100000000000001" customHeight="1" x14ac:dyDescent="0.25"/>
    <row r="238" ht="17.100000000000001" customHeight="1" x14ac:dyDescent="0.25"/>
    <row r="239" ht="17.100000000000001" customHeight="1" x14ac:dyDescent="0.25"/>
    <row r="240" ht="17.100000000000001" customHeight="1" x14ac:dyDescent="0.25"/>
    <row r="241" ht="17.100000000000001" customHeight="1" x14ac:dyDescent="0.25"/>
    <row r="242" ht="17.100000000000001" customHeight="1" x14ac:dyDescent="0.25"/>
    <row r="243" ht="17.100000000000001" customHeight="1" x14ac:dyDescent="0.25"/>
    <row r="244" ht="17.100000000000001" customHeight="1" x14ac:dyDescent="0.25"/>
    <row r="245" ht="17.100000000000001" customHeight="1" x14ac:dyDescent="0.25"/>
    <row r="246" ht="17.100000000000001" customHeight="1" x14ac:dyDescent="0.25"/>
    <row r="247" ht="17.100000000000001" customHeight="1" x14ac:dyDescent="0.25"/>
    <row r="248" ht="17.100000000000001" customHeight="1" x14ac:dyDescent="0.25"/>
    <row r="249" ht="30" customHeight="1" x14ac:dyDescent="0.25"/>
    <row r="250" ht="17.100000000000001" customHeight="1" x14ac:dyDescent="0.25"/>
    <row r="251" ht="30" customHeight="1" x14ac:dyDescent="0.25"/>
    <row r="252" ht="17.100000000000001" customHeight="1" x14ac:dyDescent="0.25"/>
    <row r="253" ht="17.100000000000001" customHeight="1" x14ac:dyDescent="0.25"/>
    <row r="254" ht="17.100000000000001" customHeight="1" x14ac:dyDescent="0.25"/>
    <row r="255" ht="24.95" customHeight="1" x14ac:dyDescent="0.25"/>
    <row r="257" ht="21" customHeight="1" x14ac:dyDescent="0.25"/>
    <row r="258" ht="15.95" customHeight="1" x14ac:dyDescent="0.25"/>
    <row r="259" ht="15.95" customHeight="1" x14ac:dyDescent="0.25"/>
    <row r="260" ht="17.100000000000001" customHeight="1" x14ac:dyDescent="0.25"/>
    <row r="261" ht="17.100000000000001" customHeight="1" x14ac:dyDescent="0.25"/>
    <row r="262" ht="17.100000000000001" customHeight="1" x14ac:dyDescent="0.25"/>
    <row r="263" ht="17.100000000000001" customHeight="1" x14ac:dyDescent="0.25"/>
    <row r="264" ht="17.100000000000001" customHeight="1" x14ac:dyDescent="0.25"/>
    <row r="265" ht="17.100000000000001" customHeight="1" x14ac:dyDescent="0.25"/>
    <row r="266" ht="17.100000000000001" customHeight="1" x14ac:dyDescent="0.25"/>
    <row r="267" ht="17.100000000000001" customHeight="1" x14ac:dyDescent="0.25"/>
    <row r="268" ht="30" customHeight="1" x14ac:dyDescent="0.25"/>
    <row r="269" ht="17.100000000000001" customHeight="1" x14ac:dyDescent="0.25"/>
    <row r="270" ht="30" customHeight="1" x14ac:dyDescent="0.25"/>
    <row r="271" ht="17.100000000000001" customHeight="1" x14ac:dyDescent="0.25"/>
    <row r="272" ht="17.100000000000001" customHeight="1" x14ac:dyDescent="0.25"/>
    <row r="273" ht="17.100000000000001" customHeight="1" x14ac:dyDescent="0.25"/>
    <row r="274" ht="17.100000000000001" customHeight="1" x14ac:dyDescent="0.25"/>
    <row r="275" ht="30" customHeight="1" x14ac:dyDescent="0.25"/>
    <row r="276" ht="17.100000000000001" customHeight="1" x14ac:dyDescent="0.25"/>
    <row r="277" ht="17.100000000000001" customHeight="1" x14ac:dyDescent="0.25"/>
    <row r="278" ht="17.100000000000001" customHeight="1" x14ac:dyDescent="0.25"/>
    <row r="279" ht="17.100000000000001" customHeight="1" x14ac:dyDescent="0.25"/>
    <row r="280" ht="17.100000000000001" customHeight="1" x14ac:dyDescent="0.25"/>
    <row r="281" ht="17.100000000000001" customHeight="1" x14ac:dyDescent="0.25"/>
    <row r="282" ht="17.100000000000001" customHeight="1" x14ac:dyDescent="0.25"/>
    <row r="283" ht="17.100000000000001" customHeight="1" x14ac:dyDescent="0.25"/>
    <row r="284" ht="17.100000000000001" customHeight="1" x14ac:dyDescent="0.25"/>
    <row r="285" ht="17.100000000000001" customHeight="1" x14ac:dyDescent="0.25"/>
    <row r="286" ht="30" customHeight="1" x14ac:dyDescent="0.25"/>
    <row r="287" ht="17.100000000000001" customHeight="1" x14ac:dyDescent="0.25"/>
    <row r="288" ht="17.100000000000001" customHeight="1" x14ac:dyDescent="0.25"/>
    <row r="289" ht="30" customHeight="1" x14ac:dyDescent="0.25"/>
    <row r="290" ht="17.100000000000001" customHeight="1" x14ac:dyDescent="0.25"/>
    <row r="291" ht="17.100000000000001" customHeight="1" x14ac:dyDescent="0.25"/>
    <row r="292" ht="17.100000000000001" customHeight="1" x14ac:dyDescent="0.25"/>
    <row r="293" ht="17.100000000000001" customHeight="1" x14ac:dyDescent="0.25"/>
    <row r="294" ht="30" customHeight="1" x14ac:dyDescent="0.25"/>
    <row r="295" ht="17.100000000000001" customHeight="1" x14ac:dyDescent="0.25"/>
    <row r="296" ht="17.100000000000001" customHeight="1" x14ac:dyDescent="0.25"/>
    <row r="297" ht="30" customHeight="1" x14ac:dyDescent="0.25"/>
    <row r="298" ht="17.100000000000001" customHeight="1" x14ac:dyDescent="0.25"/>
    <row r="299" ht="30" customHeight="1" x14ac:dyDescent="0.25"/>
    <row r="300" ht="17.100000000000001" customHeight="1" x14ac:dyDescent="0.25"/>
    <row r="301" ht="17.100000000000001" customHeight="1" x14ac:dyDescent="0.25"/>
    <row r="302" ht="17.100000000000001" customHeight="1" x14ac:dyDescent="0.25"/>
    <row r="303" ht="17.100000000000001" customHeight="1" x14ac:dyDescent="0.25"/>
    <row r="304" ht="17.100000000000001" customHeight="1" x14ac:dyDescent="0.25"/>
    <row r="305" ht="17.100000000000001" customHeight="1" x14ac:dyDescent="0.25"/>
    <row r="306" ht="17.100000000000001" customHeight="1" x14ac:dyDescent="0.25"/>
    <row r="307" ht="17.100000000000001" customHeight="1" x14ac:dyDescent="0.25"/>
    <row r="308" ht="30" customHeight="1" x14ac:dyDescent="0.25"/>
    <row r="309" ht="30" customHeight="1" x14ac:dyDescent="0.25"/>
    <row r="310" ht="17.100000000000001" customHeight="1" x14ac:dyDescent="0.25"/>
    <row r="311" ht="17.100000000000001" customHeight="1" x14ac:dyDescent="0.25"/>
    <row r="312" ht="17.100000000000001" customHeight="1" x14ac:dyDescent="0.25"/>
    <row r="313" ht="17.100000000000001" customHeight="1" x14ac:dyDescent="0.25"/>
    <row r="314" ht="30" customHeight="1" x14ac:dyDescent="0.25"/>
    <row r="315" ht="30" customHeight="1" x14ac:dyDescent="0.25"/>
    <row r="316" ht="17.100000000000001" customHeight="1" x14ac:dyDescent="0.25"/>
    <row r="317" ht="17.100000000000001" customHeight="1" x14ac:dyDescent="0.25"/>
    <row r="318" ht="30" customHeight="1" x14ac:dyDescent="0.25"/>
    <row r="319" ht="17.100000000000001" customHeight="1" x14ac:dyDescent="0.25"/>
    <row r="320" ht="17.100000000000001" customHeight="1" x14ac:dyDescent="0.25"/>
    <row r="321" ht="17.100000000000001" customHeight="1" x14ac:dyDescent="0.25"/>
    <row r="322" ht="17.100000000000001" customHeight="1" x14ac:dyDescent="0.25"/>
    <row r="323" ht="17.100000000000001" customHeight="1" x14ac:dyDescent="0.25"/>
    <row r="324" ht="17.100000000000001" customHeight="1" x14ac:dyDescent="0.25"/>
    <row r="325" ht="17.100000000000001" customHeight="1" x14ac:dyDescent="0.25"/>
    <row r="326" ht="17.100000000000001" customHeight="1" x14ac:dyDescent="0.25"/>
    <row r="327" ht="30" customHeight="1" x14ac:dyDescent="0.25"/>
    <row r="328" ht="30" customHeight="1" x14ac:dyDescent="0.25"/>
    <row r="329" ht="30" customHeight="1" x14ac:dyDescent="0.25"/>
    <row r="330" ht="17.100000000000001" customHeight="1" x14ac:dyDescent="0.25"/>
    <row r="331" ht="17.100000000000001" customHeight="1" x14ac:dyDescent="0.25"/>
    <row r="332" ht="17.100000000000001" customHeight="1" x14ac:dyDescent="0.25"/>
    <row r="333" ht="17.100000000000001" customHeight="1" x14ac:dyDescent="0.25"/>
    <row r="334" ht="30" customHeight="1" x14ac:dyDescent="0.25"/>
    <row r="335" ht="30" customHeight="1" x14ac:dyDescent="0.25"/>
    <row r="336" ht="17.100000000000001" customHeight="1" x14ac:dyDescent="0.25"/>
    <row r="337" ht="17.100000000000001" customHeight="1" x14ac:dyDescent="0.25"/>
    <row r="338" ht="17.100000000000001" customHeight="1" x14ac:dyDescent="0.25"/>
    <row r="339" ht="17.100000000000001" customHeight="1" x14ac:dyDescent="0.25"/>
    <row r="340" ht="17.100000000000001" customHeight="1" x14ac:dyDescent="0.25"/>
    <row r="341" ht="17.100000000000001" customHeight="1" x14ac:dyDescent="0.25"/>
    <row r="342" ht="17.100000000000001" customHeight="1" x14ac:dyDescent="0.25"/>
    <row r="343" ht="30" customHeight="1" x14ac:dyDescent="0.25"/>
    <row r="344" ht="30" customHeight="1" x14ac:dyDescent="0.25"/>
    <row r="345" ht="17.100000000000001" customHeight="1" x14ac:dyDescent="0.25"/>
    <row r="346" ht="17.100000000000001" customHeight="1" x14ac:dyDescent="0.25"/>
    <row r="347" ht="17.100000000000001" customHeight="1" x14ac:dyDescent="0.25"/>
    <row r="348" ht="30" customHeight="1" x14ac:dyDescent="0.25"/>
    <row r="349" ht="30" customHeight="1" x14ac:dyDescent="0.25"/>
    <row r="350" ht="17.100000000000001" customHeight="1" x14ac:dyDescent="0.25"/>
    <row r="351" ht="30" customHeight="1" x14ac:dyDescent="0.25"/>
    <row r="352" ht="17.100000000000001" customHeight="1" x14ac:dyDescent="0.25"/>
    <row r="353" ht="17.100000000000001" customHeight="1" x14ac:dyDescent="0.25"/>
    <row r="354" ht="17.100000000000001" customHeight="1" x14ac:dyDescent="0.25"/>
    <row r="355" ht="30" customHeight="1" x14ac:dyDescent="0.25"/>
    <row r="356" ht="17.100000000000001" customHeight="1" x14ac:dyDescent="0.25"/>
    <row r="357" ht="17.100000000000001" customHeight="1" x14ac:dyDescent="0.25"/>
    <row r="358" ht="17.100000000000001" customHeight="1" x14ac:dyDescent="0.25"/>
    <row r="359" ht="17.100000000000001" customHeight="1" x14ac:dyDescent="0.25"/>
    <row r="360" ht="17.100000000000001" customHeight="1" x14ac:dyDescent="0.25"/>
    <row r="361" ht="17.100000000000001" customHeight="1" x14ac:dyDescent="0.25"/>
    <row r="362" ht="17.100000000000001" customHeight="1" x14ac:dyDescent="0.25"/>
    <row r="363" ht="17.100000000000001" customHeight="1" x14ac:dyDescent="0.25"/>
    <row r="364" ht="17.100000000000001" customHeight="1" x14ac:dyDescent="0.25"/>
    <row r="365" ht="17.100000000000001" customHeight="1" x14ac:dyDescent="0.25"/>
    <row r="366" ht="17.100000000000001" customHeight="1" x14ac:dyDescent="0.25"/>
    <row r="367" ht="17.100000000000001" customHeight="1" x14ac:dyDescent="0.25"/>
    <row r="368" ht="30" customHeight="1" x14ac:dyDescent="0.25"/>
    <row r="369" ht="30" customHeight="1" x14ac:dyDescent="0.25"/>
    <row r="370" ht="17.100000000000001" customHeight="1" x14ac:dyDescent="0.25"/>
    <row r="371" ht="30" customHeight="1" x14ac:dyDescent="0.25"/>
    <row r="372" ht="17.100000000000001" customHeight="1" x14ac:dyDescent="0.25"/>
    <row r="373" ht="17.100000000000001" customHeight="1" x14ac:dyDescent="0.25"/>
    <row r="374" ht="17.100000000000001" customHeight="1" x14ac:dyDescent="0.25"/>
    <row r="375" ht="17.100000000000001" customHeight="1" x14ac:dyDescent="0.25"/>
    <row r="376" ht="17.100000000000001" customHeight="1" x14ac:dyDescent="0.25"/>
    <row r="377" ht="24.95" customHeight="1" x14ac:dyDescent="0.25"/>
    <row r="379" ht="21" customHeight="1" x14ac:dyDescent="0.25"/>
    <row r="380" ht="15.95" customHeight="1" x14ac:dyDescent="0.25"/>
    <row r="381" ht="15.95" customHeight="1" x14ac:dyDescent="0.25"/>
    <row r="382" ht="17.100000000000001" customHeight="1" x14ac:dyDescent="0.25"/>
    <row r="383" ht="17.100000000000001" customHeight="1" x14ac:dyDescent="0.25"/>
    <row r="384" ht="17.100000000000001" customHeight="1" x14ac:dyDescent="0.25"/>
    <row r="385" ht="17.100000000000001" customHeight="1" x14ac:dyDescent="0.25"/>
    <row r="386" ht="17.100000000000001" customHeight="1" x14ac:dyDescent="0.25"/>
    <row r="387" ht="17.100000000000001" customHeight="1" x14ac:dyDescent="0.25"/>
    <row r="388" ht="17.100000000000001" customHeight="1" x14ac:dyDescent="0.25"/>
    <row r="389" ht="17.100000000000001" customHeight="1" x14ac:dyDescent="0.25"/>
    <row r="390" ht="30" customHeight="1" x14ac:dyDescent="0.25"/>
    <row r="391" ht="17.100000000000001" customHeight="1" x14ac:dyDescent="0.25"/>
    <row r="392" ht="30" customHeight="1" x14ac:dyDescent="0.25"/>
    <row r="393" ht="17.100000000000001" customHeight="1" x14ac:dyDescent="0.25"/>
    <row r="394" ht="17.100000000000001" customHeight="1" x14ac:dyDescent="0.25"/>
    <row r="395" ht="17.100000000000001" customHeight="1" x14ac:dyDescent="0.25"/>
    <row r="396" ht="17.100000000000001" customHeight="1" x14ac:dyDescent="0.25"/>
    <row r="397" ht="30" customHeight="1" x14ac:dyDescent="0.25"/>
    <row r="398" ht="17.100000000000001" customHeight="1" x14ac:dyDescent="0.25"/>
    <row r="399" ht="17.100000000000001" customHeight="1" x14ac:dyDescent="0.25"/>
    <row r="400" ht="17.100000000000001" customHeight="1" x14ac:dyDescent="0.25"/>
    <row r="401" ht="17.100000000000001" customHeight="1" x14ac:dyDescent="0.25"/>
    <row r="402" ht="17.100000000000001" customHeight="1" x14ac:dyDescent="0.25"/>
    <row r="403" ht="17.100000000000001" customHeight="1" x14ac:dyDescent="0.25"/>
    <row r="404" ht="17.100000000000001" customHeight="1" x14ac:dyDescent="0.25"/>
    <row r="405" ht="17.100000000000001" customHeight="1" x14ac:dyDescent="0.25"/>
    <row r="406" ht="17.100000000000001" customHeight="1" x14ac:dyDescent="0.25"/>
    <row r="407" ht="17.100000000000001" customHeight="1" x14ac:dyDescent="0.25"/>
    <row r="408" ht="30" customHeight="1" x14ac:dyDescent="0.25"/>
    <row r="409" ht="17.100000000000001" customHeight="1" x14ac:dyDescent="0.25"/>
    <row r="410" ht="17.100000000000001" customHeight="1" x14ac:dyDescent="0.25"/>
    <row r="411" ht="30" customHeight="1" x14ac:dyDescent="0.25"/>
    <row r="412" ht="17.100000000000001" customHeight="1" x14ac:dyDescent="0.25"/>
    <row r="413" ht="17.100000000000001" customHeight="1" x14ac:dyDescent="0.25"/>
    <row r="414" ht="17.100000000000001" customHeight="1" x14ac:dyDescent="0.25"/>
    <row r="415" ht="17.100000000000001" customHeight="1" x14ac:dyDescent="0.25"/>
    <row r="416" ht="30" customHeight="1" x14ac:dyDescent="0.25"/>
    <row r="417" ht="17.100000000000001" customHeight="1" x14ac:dyDescent="0.25"/>
    <row r="418" ht="17.100000000000001" customHeight="1" x14ac:dyDescent="0.25"/>
    <row r="419" ht="30" customHeight="1" x14ac:dyDescent="0.25"/>
    <row r="420" ht="17.100000000000001" customHeight="1" x14ac:dyDescent="0.25"/>
    <row r="421" ht="30" customHeight="1" x14ac:dyDescent="0.25"/>
    <row r="422" ht="17.100000000000001" customHeight="1" x14ac:dyDescent="0.25"/>
    <row r="423" ht="17.100000000000001" customHeight="1" x14ac:dyDescent="0.25"/>
    <row r="424" ht="17.100000000000001" customHeight="1" x14ac:dyDescent="0.25"/>
    <row r="425" ht="17.100000000000001" customHeight="1" x14ac:dyDescent="0.25"/>
    <row r="426" ht="17.100000000000001" customHeight="1" x14ac:dyDescent="0.25"/>
    <row r="427" ht="17.100000000000001" customHeight="1" x14ac:dyDescent="0.25"/>
    <row r="428" ht="17.100000000000001" customHeight="1" x14ac:dyDescent="0.25"/>
    <row r="429" ht="17.100000000000001" customHeight="1" x14ac:dyDescent="0.25"/>
    <row r="430" ht="30" customHeight="1" x14ac:dyDescent="0.25"/>
    <row r="431" ht="30" customHeight="1" x14ac:dyDescent="0.25"/>
    <row r="432" ht="17.100000000000001" customHeight="1" x14ac:dyDescent="0.25"/>
    <row r="433" ht="17.100000000000001" customHeight="1" x14ac:dyDescent="0.25"/>
    <row r="434" ht="17.100000000000001" customHeight="1" x14ac:dyDescent="0.25"/>
    <row r="435" ht="17.100000000000001" customHeight="1" x14ac:dyDescent="0.25"/>
    <row r="436" ht="30" customHeight="1" x14ac:dyDescent="0.25"/>
    <row r="437" ht="30" customHeight="1" x14ac:dyDescent="0.25"/>
    <row r="438" ht="17.100000000000001" customHeight="1" x14ac:dyDescent="0.25"/>
    <row r="439" ht="17.100000000000001" customHeight="1" x14ac:dyDescent="0.25"/>
    <row r="440" ht="30" customHeight="1" x14ac:dyDescent="0.25"/>
    <row r="441" ht="17.100000000000001" customHeight="1" x14ac:dyDescent="0.25"/>
    <row r="442" ht="17.100000000000001" customHeight="1" x14ac:dyDescent="0.25"/>
    <row r="443" ht="17.100000000000001" customHeight="1" x14ac:dyDescent="0.25"/>
    <row r="444" ht="17.100000000000001" customHeight="1" x14ac:dyDescent="0.25"/>
    <row r="445" ht="17.100000000000001" customHeight="1" x14ac:dyDescent="0.25"/>
    <row r="446" ht="17.100000000000001" customHeight="1" x14ac:dyDescent="0.25"/>
    <row r="447" ht="17.100000000000001" customHeight="1" x14ac:dyDescent="0.25"/>
    <row r="448" ht="17.100000000000001" customHeight="1" x14ac:dyDescent="0.25"/>
    <row r="449" ht="30" customHeight="1" x14ac:dyDescent="0.25"/>
    <row r="450" ht="30" customHeight="1" x14ac:dyDescent="0.25"/>
    <row r="451" ht="30" customHeight="1" x14ac:dyDescent="0.25"/>
    <row r="452" ht="17.100000000000001" customHeight="1" x14ac:dyDescent="0.25"/>
    <row r="453" ht="17.100000000000001" customHeight="1" x14ac:dyDescent="0.25"/>
    <row r="454" ht="17.100000000000001" customHeight="1" x14ac:dyDescent="0.25"/>
    <row r="455" ht="17.100000000000001" customHeight="1" x14ac:dyDescent="0.25"/>
    <row r="456" ht="30" customHeight="1" x14ac:dyDescent="0.25"/>
    <row r="457" ht="30" customHeight="1" x14ac:dyDescent="0.25"/>
    <row r="458" ht="17.100000000000001" customHeight="1" x14ac:dyDescent="0.25"/>
    <row r="459" ht="17.100000000000001" customHeight="1" x14ac:dyDescent="0.25"/>
    <row r="460" ht="17.100000000000001" customHeight="1" x14ac:dyDescent="0.25"/>
    <row r="461" ht="17.100000000000001" customHeight="1" x14ac:dyDescent="0.25"/>
    <row r="462" ht="17.100000000000001" customHeight="1" x14ac:dyDescent="0.25"/>
    <row r="463" ht="17.100000000000001" customHeight="1" x14ac:dyDescent="0.25"/>
    <row r="464" ht="17.100000000000001" customHeight="1" x14ac:dyDescent="0.25"/>
    <row r="465" ht="30" customHeight="1" x14ac:dyDescent="0.25"/>
    <row r="466" ht="30" customHeight="1" x14ac:dyDescent="0.25"/>
    <row r="467" ht="17.100000000000001" customHeight="1" x14ac:dyDescent="0.25"/>
    <row r="468" ht="17.100000000000001" customHeight="1" x14ac:dyDescent="0.25"/>
    <row r="469" ht="17.100000000000001" customHeight="1" x14ac:dyDescent="0.25"/>
    <row r="470" ht="30" customHeight="1" x14ac:dyDescent="0.25"/>
    <row r="471" ht="30" customHeight="1" x14ac:dyDescent="0.25"/>
    <row r="472" ht="17.100000000000001" customHeight="1" x14ac:dyDescent="0.25"/>
    <row r="473" ht="30" customHeight="1" x14ac:dyDescent="0.25"/>
    <row r="474" ht="17.100000000000001" customHeight="1" x14ac:dyDescent="0.25"/>
    <row r="475" ht="17.100000000000001" customHeight="1" x14ac:dyDescent="0.25"/>
    <row r="476" ht="17.100000000000001" customHeight="1" x14ac:dyDescent="0.25"/>
    <row r="477" ht="30" customHeight="1" x14ac:dyDescent="0.25"/>
    <row r="478" ht="17.100000000000001" customHeight="1" x14ac:dyDescent="0.25"/>
    <row r="479" ht="17.100000000000001" customHeight="1" x14ac:dyDescent="0.25"/>
    <row r="480" ht="17.100000000000001" customHeight="1" x14ac:dyDescent="0.25"/>
    <row r="481" ht="17.100000000000001" customHeight="1" x14ac:dyDescent="0.25"/>
    <row r="482" ht="17.100000000000001" customHeight="1" x14ac:dyDescent="0.25"/>
    <row r="483" ht="17.100000000000001" customHeight="1" x14ac:dyDescent="0.25"/>
    <row r="484" ht="17.100000000000001" customHeight="1" x14ac:dyDescent="0.25"/>
    <row r="485" ht="17.100000000000001" customHeight="1" x14ac:dyDescent="0.25"/>
    <row r="486" ht="17.100000000000001" customHeight="1" x14ac:dyDescent="0.25"/>
    <row r="487" ht="17.100000000000001" customHeight="1" x14ac:dyDescent="0.25"/>
    <row r="488" ht="17.100000000000001" customHeight="1" x14ac:dyDescent="0.25"/>
    <row r="489" ht="17.100000000000001" customHeight="1" x14ac:dyDescent="0.25"/>
    <row r="490" ht="30" customHeight="1" x14ac:dyDescent="0.25"/>
    <row r="491" ht="30" customHeight="1" x14ac:dyDescent="0.25"/>
    <row r="492" ht="17.100000000000001" customHeight="1" x14ac:dyDescent="0.25"/>
    <row r="493" ht="30" customHeight="1" x14ac:dyDescent="0.25"/>
    <row r="494" ht="17.100000000000001" customHeight="1" x14ac:dyDescent="0.25"/>
    <row r="495" ht="17.100000000000001" customHeight="1" x14ac:dyDescent="0.25"/>
    <row r="496" ht="17.100000000000001" customHeight="1" x14ac:dyDescent="0.25"/>
    <row r="497" ht="17.100000000000001" customHeight="1" x14ac:dyDescent="0.25"/>
    <row r="498" ht="17.100000000000001" customHeight="1" x14ac:dyDescent="0.25"/>
    <row r="499" ht="24.95" customHeight="1" x14ac:dyDescent="0.25"/>
    <row r="501" ht="21" customHeight="1" x14ac:dyDescent="0.25"/>
    <row r="502" ht="15.95" customHeight="1" x14ac:dyDescent="0.25"/>
    <row r="503" ht="15.95" customHeight="1" x14ac:dyDescent="0.25"/>
    <row r="504" ht="17.100000000000001" customHeight="1" x14ac:dyDescent="0.25"/>
    <row r="505" ht="17.100000000000001" customHeight="1" x14ac:dyDescent="0.25"/>
    <row r="506" ht="17.100000000000001" customHeight="1" x14ac:dyDescent="0.25"/>
    <row r="507" ht="17.100000000000001" customHeight="1" x14ac:dyDescent="0.25"/>
    <row r="508" ht="17.100000000000001" customHeight="1" x14ac:dyDescent="0.25"/>
    <row r="509" ht="17.100000000000001" customHeight="1" x14ac:dyDescent="0.25"/>
    <row r="510" ht="17.100000000000001" customHeight="1" x14ac:dyDescent="0.25"/>
    <row r="511" ht="17.100000000000001" customHeight="1" x14ac:dyDescent="0.25"/>
    <row r="512" ht="30" customHeight="1" x14ac:dyDescent="0.25"/>
    <row r="513" ht="17.100000000000001" customHeight="1" x14ac:dyDescent="0.25"/>
    <row r="514" ht="30" customHeight="1" x14ac:dyDescent="0.25"/>
    <row r="515" ht="17.100000000000001" customHeight="1" x14ac:dyDescent="0.25"/>
    <row r="516" ht="17.100000000000001" customHeight="1" x14ac:dyDescent="0.25"/>
    <row r="517" ht="17.100000000000001" customHeight="1" x14ac:dyDescent="0.25"/>
    <row r="518" ht="17.100000000000001" customHeight="1" x14ac:dyDescent="0.25"/>
    <row r="519" ht="30" customHeight="1" x14ac:dyDescent="0.25"/>
    <row r="520" ht="17.100000000000001" customHeight="1" x14ac:dyDescent="0.25"/>
    <row r="521" ht="17.100000000000001" customHeight="1" x14ac:dyDescent="0.25"/>
    <row r="522" ht="17.100000000000001" customHeight="1" x14ac:dyDescent="0.25"/>
    <row r="523" ht="17.100000000000001" customHeight="1" x14ac:dyDescent="0.25"/>
    <row r="524" ht="17.100000000000001" customHeight="1" x14ac:dyDescent="0.25"/>
    <row r="525" ht="17.100000000000001" customHeight="1" x14ac:dyDescent="0.25"/>
    <row r="526" ht="17.100000000000001" customHeight="1" x14ac:dyDescent="0.25"/>
    <row r="527" ht="17.100000000000001" customHeight="1" x14ac:dyDescent="0.25"/>
    <row r="528" ht="17.100000000000001" customHeight="1" x14ac:dyDescent="0.25"/>
    <row r="529" ht="17.100000000000001" customHeight="1" x14ac:dyDescent="0.25"/>
    <row r="530" ht="30" customHeight="1" x14ac:dyDescent="0.25"/>
    <row r="531" ht="17.100000000000001" customHeight="1" x14ac:dyDescent="0.25"/>
    <row r="532" ht="17.100000000000001" customHeight="1" x14ac:dyDescent="0.25"/>
    <row r="533" ht="30" customHeight="1" x14ac:dyDescent="0.25"/>
    <row r="534" ht="17.100000000000001" customHeight="1" x14ac:dyDescent="0.25"/>
    <row r="535" ht="17.100000000000001" customHeight="1" x14ac:dyDescent="0.25"/>
    <row r="536" ht="17.100000000000001" customHeight="1" x14ac:dyDescent="0.25"/>
    <row r="537" ht="17.100000000000001" customHeight="1" x14ac:dyDescent="0.25"/>
    <row r="538" ht="30" customHeight="1" x14ac:dyDescent="0.25"/>
    <row r="539" ht="17.100000000000001" customHeight="1" x14ac:dyDescent="0.25"/>
    <row r="540" ht="17.100000000000001" customHeight="1" x14ac:dyDescent="0.25"/>
    <row r="541" ht="30" customHeight="1" x14ac:dyDescent="0.25"/>
    <row r="542" ht="17.100000000000001" customHeight="1" x14ac:dyDescent="0.25"/>
    <row r="543" ht="30" customHeight="1" x14ac:dyDescent="0.25"/>
    <row r="544" ht="17.100000000000001" customHeight="1" x14ac:dyDescent="0.25"/>
    <row r="545" ht="17.100000000000001" customHeight="1" x14ac:dyDescent="0.25"/>
    <row r="546" ht="17.100000000000001" customHeight="1" x14ac:dyDescent="0.25"/>
    <row r="547" ht="17.100000000000001" customHeight="1" x14ac:dyDescent="0.25"/>
    <row r="548" ht="17.100000000000001" customHeight="1" x14ac:dyDescent="0.25"/>
    <row r="549" ht="17.100000000000001" customHeight="1" x14ac:dyDescent="0.25"/>
    <row r="550" ht="17.100000000000001" customHeight="1" x14ac:dyDescent="0.25"/>
    <row r="551" ht="17.100000000000001" customHeight="1" x14ac:dyDescent="0.25"/>
    <row r="552" ht="30" customHeight="1" x14ac:dyDescent="0.25"/>
    <row r="553" ht="30" customHeight="1" x14ac:dyDescent="0.25"/>
    <row r="554" ht="17.100000000000001" customHeight="1" x14ac:dyDescent="0.25"/>
    <row r="555" ht="17.100000000000001" customHeight="1" x14ac:dyDescent="0.25"/>
    <row r="556" ht="17.100000000000001" customHeight="1" x14ac:dyDescent="0.25"/>
    <row r="557" ht="17.100000000000001" customHeight="1" x14ac:dyDescent="0.25"/>
    <row r="558" ht="30" customHeight="1" x14ac:dyDescent="0.25"/>
    <row r="559" ht="30" customHeight="1" x14ac:dyDescent="0.25"/>
    <row r="560" ht="17.100000000000001" customHeight="1" x14ac:dyDescent="0.25"/>
    <row r="561" ht="17.100000000000001" customHeight="1" x14ac:dyDescent="0.25"/>
    <row r="562" ht="30" customHeight="1" x14ac:dyDescent="0.25"/>
    <row r="563" ht="17.100000000000001" customHeight="1" x14ac:dyDescent="0.25"/>
    <row r="564" ht="17.100000000000001" customHeight="1" x14ac:dyDescent="0.25"/>
    <row r="565" ht="17.100000000000001" customHeight="1" x14ac:dyDescent="0.25"/>
    <row r="566" ht="17.100000000000001" customHeight="1" x14ac:dyDescent="0.25"/>
    <row r="567" ht="17.100000000000001" customHeight="1" x14ac:dyDescent="0.25"/>
    <row r="568" ht="17.100000000000001" customHeight="1" x14ac:dyDescent="0.25"/>
    <row r="569" ht="17.100000000000001" customHeight="1" x14ac:dyDescent="0.25"/>
    <row r="570" ht="17.100000000000001" customHeight="1" x14ac:dyDescent="0.25"/>
    <row r="571" ht="30" customHeight="1" x14ac:dyDescent="0.25"/>
    <row r="572" ht="30" customHeight="1" x14ac:dyDescent="0.25"/>
    <row r="573" ht="30" customHeight="1" x14ac:dyDescent="0.25"/>
    <row r="574" ht="17.100000000000001" customHeight="1" x14ac:dyDescent="0.25"/>
    <row r="575" ht="17.100000000000001" customHeight="1" x14ac:dyDescent="0.25"/>
    <row r="576" ht="17.100000000000001" customHeight="1" x14ac:dyDescent="0.25"/>
    <row r="577" ht="17.100000000000001" customHeight="1" x14ac:dyDescent="0.25"/>
    <row r="578" ht="30" customHeight="1" x14ac:dyDescent="0.25"/>
    <row r="579" ht="30" customHeight="1" x14ac:dyDescent="0.25"/>
    <row r="580" ht="17.100000000000001" customHeight="1" x14ac:dyDescent="0.25"/>
    <row r="581" ht="17.100000000000001" customHeight="1" x14ac:dyDescent="0.25"/>
    <row r="582" ht="17.100000000000001" customHeight="1" x14ac:dyDescent="0.25"/>
    <row r="583" ht="17.100000000000001" customHeight="1" x14ac:dyDescent="0.25"/>
    <row r="584" ht="17.100000000000001" customHeight="1" x14ac:dyDescent="0.25"/>
    <row r="585" ht="17.100000000000001" customHeight="1" x14ac:dyDescent="0.25"/>
    <row r="586" ht="17.100000000000001" customHeight="1" x14ac:dyDescent="0.25"/>
    <row r="587" ht="30" customHeight="1" x14ac:dyDescent="0.25"/>
    <row r="588" ht="30" customHeight="1" x14ac:dyDescent="0.25"/>
    <row r="589" ht="17.100000000000001" customHeight="1" x14ac:dyDescent="0.25"/>
    <row r="590" ht="17.100000000000001" customHeight="1" x14ac:dyDescent="0.25"/>
    <row r="591" ht="17.100000000000001" customHeight="1" x14ac:dyDescent="0.25"/>
    <row r="592" ht="30" customHeight="1" x14ac:dyDescent="0.25"/>
    <row r="593" ht="30" customHeight="1" x14ac:dyDescent="0.25"/>
    <row r="594" ht="17.100000000000001" customHeight="1" x14ac:dyDescent="0.25"/>
    <row r="595" ht="30" customHeight="1" x14ac:dyDescent="0.25"/>
    <row r="596" ht="17.100000000000001" customHeight="1" x14ac:dyDescent="0.25"/>
    <row r="597" ht="17.100000000000001" customHeight="1" x14ac:dyDescent="0.25"/>
    <row r="598" ht="17.100000000000001" customHeight="1" x14ac:dyDescent="0.25"/>
    <row r="599" ht="30" customHeight="1" x14ac:dyDescent="0.25"/>
    <row r="600" ht="17.100000000000001" customHeight="1" x14ac:dyDescent="0.25"/>
    <row r="601" ht="17.100000000000001" customHeight="1" x14ac:dyDescent="0.25"/>
    <row r="602" ht="17.100000000000001" customHeight="1" x14ac:dyDescent="0.25"/>
    <row r="603" ht="17.100000000000001" customHeight="1" x14ac:dyDescent="0.25"/>
    <row r="604" ht="17.100000000000001" customHeight="1" x14ac:dyDescent="0.25"/>
    <row r="605" ht="17.100000000000001" customHeight="1" x14ac:dyDescent="0.25"/>
    <row r="606" ht="17.100000000000001" customHeight="1" x14ac:dyDescent="0.25"/>
    <row r="607" ht="17.100000000000001" customHeight="1" x14ac:dyDescent="0.25"/>
    <row r="608" ht="17.100000000000001" customHeight="1" x14ac:dyDescent="0.25"/>
    <row r="609" ht="17.100000000000001" customHeight="1" x14ac:dyDescent="0.25"/>
    <row r="610" ht="17.100000000000001" customHeight="1" x14ac:dyDescent="0.25"/>
    <row r="611" ht="17.100000000000001" customHeight="1" x14ac:dyDescent="0.25"/>
    <row r="612" ht="30" customHeight="1" x14ac:dyDescent="0.25"/>
    <row r="613" ht="30" customHeight="1" x14ac:dyDescent="0.25"/>
    <row r="614" ht="17.100000000000001" customHeight="1" x14ac:dyDescent="0.25"/>
    <row r="615" ht="30" customHeight="1" x14ac:dyDescent="0.25"/>
    <row r="616" ht="17.100000000000001" customHeight="1" x14ac:dyDescent="0.25"/>
    <row r="617" ht="17.100000000000001" customHeight="1" x14ac:dyDescent="0.25"/>
    <row r="618" ht="17.100000000000001" customHeight="1" x14ac:dyDescent="0.25"/>
    <row r="619" ht="17.100000000000001" customHeight="1" x14ac:dyDescent="0.25"/>
    <row r="620" ht="17.100000000000001" customHeight="1" x14ac:dyDescent="0.25"/>
    <row r="621" ht="24.95" customHeight="1" x14ac:dyDescent="0.25"/>
    <row r="623" ht="21" customHeight="1" x14ac:dyDescent="0.25"/>
    <row r="624" ht="15.95" customHeight="1" x14ac:dyDescent="0.25"/>
    <row r="625" ht="15.95" customHeight="1" x14ac:dyDescent="0.25"/>
    <row r="626" ht="17.100000000000001" customHeight="1" x14ac:dyDescent="0.25"/>
    <row r="627" ht="17.100000000000001" customHeight="1" x14ac:dyDescent="0.25"/>
    <row r="628" ht="17.100000000000001" customHeight="1" x14ac:dyDescent="0.25"/>
    <row r="629" ht="17.100000000000001" customHeight="1" x14ac:dyDescent="0.25"/>
    <row r="630" ht="17.100000000000001" customHeight="1" x14ac:dyDescent="0.25"/>
    <row r="631" ht="17.100000000000001" customHeight="1" x14ac:dyDescent="0.25"/>
    <row r="632" ht="17.100000000000001" customHeight="1" x14ac:dyDescent="0.25"/>
    <row r="633" ht="17.100000000000001" customHeight="1" x14ac:dyDescent="0.25"/>
    <row r="634" ht="30" customHeight="1" x14ac:dyDescent="0.25"/>
    <row r="635" ht="17.100000000000001" customHeight="1" x14ac:dyDescent="0.25"/>
    <row r="636" ht="30" customHeight="1" x14ac:dyDescent="0.25"/>
    <row r="637" ht="17.100000000000001" customHeight="1" x14ac:dyDescent="0.25"/>
    <row r="638" ht="17.100000000000001" customHeight="1" x14ac:dyDescent="0.25"/>
    <row r="639" ht="17.100000000000001" customHeight="1" x14ac:dyDescent="0.25"/>
    <row r="640" ht="17.100000000000001" customHeight="1" x14ac:dyDescent="0.25"/>
    <row r="641" ht="30" customHeight="1" x14ac:dyDescent="0.25"/>
    <row r="642" ht="17.100000000000001" customHeight="1" x14ac:dyDescent="0.25"/>
    <row r="643" ht="17.100000000000001" customHeight="1" x14ac:dyDescent="0.25"/>
    <row r="644" ht="17.100000000000001" customHeight="1" x14ac:dyDescent="0.25"/>
    <row r="645" ht="17.100000000000001" customHeight="1" x14ac:dyDescent="0.25"/>
    <row r="646" ht="17.100000000000001" customHeight="1" x14ac:dyDescent="0.25"/>
    <row r="647" ht="17.100000000000001" customHeight="1" x14ac:dyDescent="0.25"/>
    <row r="648" ht="17.100000000000001" customHeight="1" x14ac:dyDescent="0.25"/>
    <row r="649" ht="17.100000000000001" customHeight="1" x14ac:dyDescent="0.25"/>
    <row r="650" ht="17.100000000000001" customHeight="1" x14ac:dyDescent="0.25"/>
    <row r="651" ht="17.100000000000001" customHeight="1" x14ac:dyDescent="0.25"/>
    <row r="652" ht="30" customHeight="1" x14ac:dyDescent="0.25"/>
    <row r="653" ht="17.100000000000001" customHeight="1" x14ac:dyDescent="0.25"/>
    <row r="654" ht="17.100000000000001" customHeight="1" x14ac:dyDescent="0.25"/>
    <row r="655" ht="30" customHeight="1" x14ac:dyDescent="0.25"/>
    <row r="656" ht="17.100000000000001" customHeight="1" x14ac:dyDescent="0.25"/>
    <row r="657" ht="17.100000000000001" customHeight="1" x14ac:dyDescent="0.25"/>
    <row r="658" ht="17.100000000000001" customHeight="1" x14ac:dyDescent="0.25"/>
    <row r="659" ht="17.100000000000001" customHeight="1" x14ac:dyDescent="0.25"/>
    <row r="660" ht="30" customHeight="1" x14ac:dyDescent="0.25"/>
    <row r="661" ht="17.100000000000001" customHeight="1" x14ac:dyDescent="0.25"/>
    <row r="662" ht="17.100000000000001" customHeight="1" x14ac:dyDescent="0.25"/>
    <row r="663" ht="30" customHeight="1" x14ac:dyDescent="0.25"/>
    <row r="664" ht="17.100000000000001" customHeight="1" x14ac:dyDescent="0.25"/>
    <row r="665" ht="30" customHeight="1" x14ac:dyDescent="0.25"/>
    <row r="666" ht="17.100000000000001" customHeight="1" x14ac:dyDescent="0.25"/>
    <row r="667" ht="17.100000000000001" customHeight="1" x14ac:dyDescent="0.25"/>
    <row r="668" ht="17.100000000000001" customHeight="1" x14ac:dyDescent="0.25"/>
    <row r="669" ht="17.100000000000001" customHeight="1" x14ac:dyDescent="0.25"/>
    <row r="670" ht="17.100000000000001" customHeight="1" x14ac:dyDescent="0.25"/>
    <row r="671" ht="17.100000000000001" customHeight="1" x14ac:dyDescent="0.25"/>
    <row r="672" ht="17.100000000000001" customHeight="1" x14ac:dyDescent="0.25"/>
    <row r="673" ht="17.100000000000001" customHeight="1" x14ac:dyDescent="0.25"/>
    <row r="674" ht="30" customHeight="1" x14ac:dyDescent="0.25"/>
    <row r="675" ht="30" customHeight="1" x14ac:dyDescent="0.25"/>
    <row r="676" ht="17.100000000000001" customHeight="1" x14ac:dyDescent="0.25"/>
    <row r="677" ht="17.100000000000001" customHeight="1" x14ac:dyDescent="0.25"/>
    <row r="678" ht="17.100000000000001" customHeight="1" x14ac:dyDescent="0.25"/>
    <row r="679" ht="17.100000000000001" customHeight="1" x14ac:dyDescent="0.25"/>
    <row r="680" ht="30" customHeight="1" x14ac:dyDescent="0.25"/>
    <row r="681" ht="30" customHeight="1" x14ac:dyDescent="0.25"/>
    <row r="682" ht="17.100000000000001" customHeight="1" x14ac:dyDescent="0.25"/>
    <row r="683" ht="17.100000000000001" customHeight="1" x14ac:dyDescent="0.25"/>
    <row r="684" ht="30" customHeight="1" x14ac:dyDescent="0.25"/>
    <row r="685" ht="17.100000000000001" customHeight="1" x14ac:dyDescent="0.25"/>
    <row r="686" ht="17.100000000000001" customHeight="1" x14ac:dyDescent="0.25"/>
    <row r="687" ht="17.100000000000001" customHeight="1" x14ac:dyDescent="0.25"/>
    <row r="688" ht="17.100000000000001" customHeight="1" x14ac:dyDescent="0.25"/>
    <row r="689" ht="17.100000000000001" customHeight="1" x14ac:dyDescent="0.25"/>
    <row r="690" ht="17.100000000000001" customHeight="1" x14ac:dyDescent="0.25"/>
    <row r="691" ht="17.100000000000001" customHeight="1" x14ac:dyDescent="0.25"/>
    <row r="692" ht="17.100000000000001" customHeight="1" x14ac:dyDescent="0.25"/>
    <row r="693" ht="30" customHeight="1" x14ac:dyDescent="0.25"/>
    <row r="694" ht="30" customHeight="1" x14ac:dyDescent="0.25"/>
    <row r="695" ht="30" customHeight="1" x14ac:dyDescent="0.25"/>
    <row r="696" ht="17.100000000000001" customHeight="1" x14ac:dyDescent="0.25"/>
    <row r="697" ht="17.100000000000001" customHeight="1" x14ac:dyDescent="0.25"/>
    <row r="698" ht="17.100000000000001" customHeight="1" x14ac:dyDescent="0.25"/>
    <row r="699" ht="17.100000000000001" customHeight="1" x14ac:dyDescent="0.25"/>
    <row r="700" ht="30" customHeight="1" x14ac:dyDescent="0.25"/>
    <row r="701" ht="30" customHeight="1" x14ac:dyDescent="0.25"/>
    <row r="702" ht="17.100000000000001" customHeight="1" x14ac:dyDescent="0.25"/>
    <row r="703" ht="17.100000000000001" customHeight="1" x14ac:dyDescent="0.25"/>
    <row r="704" ht="17.100000000000001" customHeight="1" x14ac:dyDescent="0.25"/>
    <row r="705" ht="17.100000000000001" customHeight="1" x14ac:dyDescent="0.25"/>
    <row r="706" ht="17.100000000000001" customHeight="1" x14ac:dyDescent="0.25"/>
    <row r="707" ht="17.100000000000001" customHeight="1" x14ac:dyDescent="0.25"/>
    <row r="708" ht="17.100000000000001" customHeight="1" x14ac:dyDescent="0.25"/>
    <row r="709" ht="30" customHeight="1" x14ac:dyDescent="0.25"/>
    <row r="710" ht="30" customHeight="1" x14ac:dyDescent="0.25"/>
    <row r="711" ht="17.100000000000001" customHeight="1" x14ac:dyDescent="0.25"/>
    <row r="712" ht="17.100000000000001" customHeight="1" x14ac:dyDescent="0.25"/>
    <row r="713" ht="17.100000000000001" customHeight="1" x14ac:dyDescent="0.25"/>
    <row r="714" ht="30" customHeight="1" x14ac:dyDescent="0.25"/>
    <row r="715" ht="30" customHeight="1" x14ac:dyDescent="0.25"/>
    <row r="716" ht="17.100000000000001" customHeight="1" x14ac:dyDescent="0.25"/>
    <row r="717" ht="30" customHeight="1" x14ac:dyDescent="0.25"/>
    <row r="718" ht="17.100000000000001" customHeight="1" x14ac:dyDescent="0.25"/>
    <row r="719" ht="17.100000000000001" customHeight="1" x14ac:dyDescent="0.25"/>
    <row r="720" ht="17.100000000000001" customHeight="1" x14ac:dyDescent="0.25"/>
    <row r="721" ht="30" customHeight="1" x14ac:dyDescent="0.25"/>
    <row r="722" ht="17.100000000000001" customHeight="1" x14ac:dyDescent="0.25"/>
    <row r="723" ht="17.100000000000001" customHeight="1" x14ac:dyDescent="0.25"/>
    <row r="724" ht="17.100000000000001" customHeight="1" x14ac:dyDescent="0.25"/>
    <row r="725" ht="17.100000000000001" customHeight="1" x14ac:dyDescent="0.25"/>
    <row r="726" ht="17.100000000000001" customHeight="1" x14ac:dyDescent="0.25"/>
    <row r="727" ht="17.100000000000001" customHeight="1" x14ac:dyDescent="0.25"/>
    <row r="728" ht="17.100000000000001" customHeight="1" x14ac:dyDescent="0.25"/>
    <row r="729" ht="17.100000000000001" customHeight="1" x14ac:dyDescent="0.25"/>
    <row r="730" ht="17.100000000000001" customHeight="1" x14ac:dyDescent="0.25"/>
    <row r="731" ht="17.100000000000001" customHeight="1" x14ac:dyDescent="0.25"/>
    <row r="732" ht="17.100000000000001" customHeight="1" x14ac:dyDescent="0.25"/>
    <row r="733" ht="17.100000000000001" customHeight="1" x14ac:dyDescent="0.25"/>
    <row r="734" ht="30" customHeight="1" x14ac:dyDescent="0.25"/>
    <row r="735" ht="30" customHeight="1" x14ac:dyDescent="0.25"/>
    <row r="736" ht="17.100000000000001" customHeight="1" x14ac:dyDescent="0.25"/>
    <row r="737" ht="30" customHeight="1" x14ac:dyDescent="0.25"/>
    <row r="738" ht="17.100000000000001" customHeight="1" x14ac:dyDescent="0.25"/>
    <row r="739" ht="17.100000000000001" customHeight="1" x14ac:dyDescent="0.25"/>
    <row r="740" ht="17.100000000000001" customHeight="1" x14ac:dyDescent="0.25"/>
    <row r="741" ht="17.100000000000001" customHeight="1" x14ac:dyDescent="0.25"/>
    <row r="742" ht="17.100000000000001" customHeight="1" x14ac:dyDescent="0.25"/>
    <row r="743" ht="24.95" customHeight="1" x14ac:dyDescent="0.25"/>
  </sheetData>
  <mergeCells count="5">
    <mergeCell ref="A2:J2"/>
    <mergeCell ref="A3:A4"/>
    <mergeCell ref="B3:D3"/>
    <mergeCell ref="E3:G3"/>
    <mergeCell ref="H3:J3"/>
  </mergeCells>
  <pageMargins left="0.7" right="0.7" top="0.75" bottom="0.75" header="0.3" footer="0.3"/>
  <pageSetup paperSize="9" scale="96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85"/>
  <sheetViews>
    <sheetView zoomScaleNormal="100" workbookViewId="0">
      <selection activeCell="M2" sqref="M2"/>
    </sheetView>
  </sheetViews>
  <sheetFormatPr defaultRowHeight="15" x14ac:dyDescent="0.25"/>
  <cols>
    <col min="1" max="1" width="20.28515625" style="339" customWidth="1"/>
    <col min="2" max="2" width="10.7109375" style="339" customWidth="1"/>
    <col min="3" max="3" width="10.5703125" style="339" customWidth="1"/>
    <col min="4" max="5" width="11.85546875" style="339" customWidth="1"/>
    <col min="6" max="7" width="12.140625" style="339" customWidth="1"/>
    <col min="8" max="8" width="11.140625" style="339" customWidth="1"/>
    <col min="9" max="9" width="10.5703125" style="339" customWidth="1"/>
    <col min="10" max="10" width="11.140625" style="339" customWidth="1"/>
    <col min="11" max="11" width="9.5703125" style="339" customWidth="1"/>
    <col min="12" max="16384" width="9.140625" style="339"/>
  </cols>
  <sheetData>
    <row r="2" spans="1:24" ht="33" customHeight="1" thickBot="1" x14ac:dyDescent="0.3">
      <c r="A2" s="1345" t="s">
        <v>607</v>
      </c>
      <c r="B2" s="1345"/>
      <c r="C2" s="1345"/>
      <c r="D2" s="1345"/>
      <c r="E2" s="1345"/>
      <c r="F2" s="1345"/>
      <c r="G2" s="1345"/>
      <c r="H2" s="1345"/>
      <c r="I2" s="1345"/>
      <c r="J2" s="1345"/>
      <c r="K2" s="1345"/>
    </row>
    <row r="3" spans="1:24" ht="38.25" customHeight="1" x14ac:dyDescent="0.25">
      <c r="A3" s="1351"/>
      <c r="B3" s="1337" t="s">
        <v>212</v>
      </c>
      <c r="C3" s="1338"/>
      <c r="D3" s="1339" t="s">
        <v>213</v>
      </c>
      <c r="E3" s="1340"/>
      <c r="F3" s="1341" t="s">
        <v>214</v>
      </c>
      <c r="G3" s="1342"/>
      <c r="H3" s="1339" t="s">
        <v>92</v>
      </c>
      <c r="I3" s="1340"/>
      <c r="J3" s="1343" t="s">
        <v>93</v>
      </c>
      <c r="K3" s="1344"/>
      <c r="M3" s="1330" t="s">
        <v>606</v>
      </c>
      <c r="N3" s="1330"/>
      <c r="O3" s="1330"/>
      <c r="P3" s="1330"/>
      <c r="Q3" s="1330"/>
      <c r="R3" s="1330"/>
      <c r="S3" s="1330"/>
      <c r="T3" s="1330"/>
      <c r="U3" s="1330"/>
      <c r="V3" s="1330"/>
      <c r="W3" s="1330"/>
      <c r="X3" s="1330"/>
    </row>
    <row r="4" spans="1:24" ht="15.95" customHeight="1" thickBot="1" x14ac:dyDescent="0.3">
      <c r="A4" s="1352"/>
      <c r="B4" s="1079" t="s">
        <v>12</v>
      </c>
      <c r="C4" s="1080" t="s">
        <v>11</v>
      </c>
      <c r="D4" s="1081" t="s">
        <v>12</v>
      </c>
      <c r="E4" s="1082" t="s">
        <v>11</v>
      </c>
      <c r="F4" s="1083" t="s">
        <v>12</v>
      </c>
      <c r="G4" s="1080" t="s">
        <v>11</v>
      </c>
      <c r="H4" s="1081" t="s">
        <v>12</v>
      </c>
      <c r="I4" s="1082" t="s">
        <v>11</v>
      </c>
      <c r="J4" s="1084" t="s">
        <v>12</v>
      </c>
      <c r="K4" s="1085" t="s">
        <v>11</v>
      </c>
    </row>
    <row r="5" spans="1:24" ht="17.100000000000001" customHeight="1" x14ac:dyDescent="0.25">
      <c r="A5" s="1086" t="s">
        <v>113</v>
      </c>
      <c r="B5" s="1087">
        <v>189.74457607431449</v>
      </c>
      <c r="C5" s="1088">
        <v>149.81653568257499</v>
      </c>
      <c r="D5" s="1089">
        <v>389.45403299612337</v>
      </c>
      <c r="E5" s="1090">
        <v>130.75337720520426</v>
      </c>
      <c r="F5" s="1091">
        <v>365.94693991191451</v>
      </c>
      <c r="G5" s="1088">
        <v>257.29354612512293</v>
      </c>
      <c r="H5" s="1089"/>
      <c r="I5" s="1090">
        <v>278.76827122789138</v>
      </c>
      <c r="J5" s="1092">
        <v>211.01111090182829</v>
      </c>
      <c r="K5" s="1093">
        <v>103.59647015086846</v>
      </c>
    </row>
    <row r="6" spans="1:24" ht="17.100000000000001" customHeight="1" x14ac:dyDescent="0.25">
      <c r="A6" s="1094" t="s">
        <v>114</v>
      </c>
      <c r="B6" s="1095">
        <v>150.53168116863071</v>
      </c>
      <c r="C6" s="1096">
        <v>282.06845350550759</v>
      </c>
      <c r="D6" s="1097">
        <v>149.57752572936599</v>
      </c>
      <c r="E6" s="1098">
        <v>421.46869786991323</v>
      </c>
      <c r="F6" s="1099">
        <v>104.15896158071601</v>
      </c>
      <c r="G6" s="1096">
        <v>275.58861327393987</v>
      </c>
      <c r="H6" s="1097"/>
      <c r="I6" s="1098">
        <v>295.36494968726777</v>
      </c>
      <c r="J6" s="1100">
        <v>97.485676343767665</v>
      </c>
      <c r="K6" s="1101">
        <v>179.53490148281168</v>
      </c>
    </row>
    <row r="7" spans="1:24" ht="17.100000000000001" customHeight="1" x14ac:dyDescent="0.25">
      <c r="A7" s="1094" t="s">
        <v>115</v>
      </c>
      <c r="B7" s="1095">
        <v>0.76706186629002471</v>
      </c>
      <c r="C7" s="1096">
        <v>3.7506664501213329</v>
      </c>
      <c r="D7" s="1097">
        <v>0</v>
      </c>
      <c r="E7" s="1098">
        <v>5.1374254944288333</v>
      </c>
      <c r="F7" s="1099">
        <v>0</v>
      </c>
      <c r="G7" s="1096">
        <v>0.19180834661129428</v>
      </c>
      <c r="H7" s="1097"/>
      <c r="I7" s="1098">
        <v>0</v>
      </c>
      <c r="J7" s="1100">
        <v>57.226183457299832</v>
      </c>
      <c r="K7" s="1101">
        <v>56.167261750005679</v>
      </c>
    </row>
    <row r="8" spans="1:24" ht="17.100000000000001" customHeight="1" x14ac:dyDescent="0.25">
      <c r="A8" s="1094" t="s">
        <v>116</v>
      </c>
      <c r="B8" s="1095">
        <v>702.49617444243779</v>
      </c>
      <c r="C8" s="1096">
        <v>690.09044301904805</v>
      </c>
      <c r="D8" s="1097">
        <v>632.94107354289486</v>
      </c>
      <c r="E8" s="1098">
        <v>638.58081050985413</v>
      </c>
      <c r="F8" s="1099">
        <v>655.36445175104404</v>
      </c>
      <c r="G8" s="1096">
        <v>651.60961678360104</v>
      </c>
      <c r="H8" s="1097"/>
      <c r="I8" s="1098">
        <v>629.32529553376423</v>
      </c>
      <c r="J8" s="1100">
        <v>683.27376870494049</v>
      </c>
      <c r="K8" s="1101">
        <v>721.84266391186316</v>
      </c>
    </row>
    <row r="9" spans="1:24" ht="17.100000000000001" customHeight="1" x14ac:dyDescent="0.25">
      <c r="A9" s="1094" t="s">
        <v>117</v>
      </c>
      <c r="B9" s="1095">
        <v>394.99279018891832</v>
      </c>
      <c r="C9" s="1096">
        <v>313.56270515360677</v>
      </c>
      <c r="D9" s="1097">
        <v>266.99863110145878</v>
      </c>
      <c r="E9" s="1098">
        <v>243.61142686406174</v>
      </c>
      <c r="F9" s="1099">
        <v>314.15873406069056</v>
      </c>
      <c r="G9" s="1096">
        <v>254.82097329390132</v>
      </c>
      <c r="H9" s="1097"/>
      <c r="I9" s="1098">
        <v>235.54368064374339</v>
      </c>
      <c r="J9" s="1100">
        <v>389.31045319247119</v>
      </c>
      <c r="K9" s="1101">
        <v>377.92471147657665</v>
      </c>
    </row>
    <row r="10" spans="1:24" ht="17.100000000000001" customHeight="1" x14ac:dyDescent="0.25">
      <c r="A10" s="582" t="s">
        <v>118</v>
      </c>
      <c r="B10" s="1102">
        <v>1.4677162594083719</v>
      </c>
      <c r="C10" s="1103">
        <v>0.71119618914250582</v>
      </c>
      <c r="D10" s="1104">
        <v>1.0287366301559797</v>
      </c>
      <c r="E10" s="1105">
        <v>0.44826205653815826</v>
      </c>
      <c r="F10" s="1106">
        <v>0.37091269563533774</v>
      </c>
      <c r="G10" s="1103">
        <v>0.49544217682334446</v>
      </c>
      <c r="H10" s="1104"/>
      <c r="I10" s="1105">
        <v>0.99780290733333366</v>
      </c>
      <c r="J10" s="1107">
        <v>1.6928073996928577</v>
      </c>
      <c r="K10" s="1108">
        <v>0.93399122787469102</v>
      </c>
    </row>
    <row r="11" spans="1:24" ht="17.100000000000001" customHeight="1" thickBot="1" x14ac:dyDescent="0.3">
      <c r="A11" s="1109" t="s">
        <v>274</v>
      </c>
      <c r="B11" s="1110">
        <v>1464</v>
      </c>
      <c r="C11" s="1111">
        <v>1490</v>
      </c>
      <c r="D11" s="1112">
        <v>243</v>
      </c>
      <c r="E11" s="1113">
        <v>244</v>
      </c>
      <c r="F11" s="1114">
        <v>325</v>
      </c>
      <c r="G11" s="1111">
        <v>338</v>
      </c>
      <c r="H11" s="1115">
        <v>21</v>
      </c>
      <c r="I11" s="1113">
        <v>85</v>
      </c>
      <c r="J11" s="1114">
        <v>1314</v>
      </c>
      <c r="K11" s="1116">
        <v>1591</v>
      </c>
    </row>
    <row r="12" spans="1:24" ht="21" customHeight="1" x14ac:dyDescent="0.25">
      <c r="A12" s="417"/>
      <c r="B12" s="417"/>
      <c r="C12" s="417"/>
      <c r="D12" s="417"/>
      <c r="E12" s="417"/>
      <c r="F12" s="417"/>
      <c r="G12" s="417"/>
      <c r="H12" s="417"/>
      <c r="I12" s="417"/>
      <c r="J12" s="417"/>
      <c r="K12" s="417"/>
    </row>
    <row r="13" spans="1:24" hidden="1" x14ac:dyDescent="0.25"/>
    <row r="14" spans="1:24" ht="15.95" hidden="1" customHeight="1" x14ac:dyDescent="0.25">
      <c r="A14" s="1346"/>
      <c r="B14" s="1348" t="s">
        <v>212</v>
      </c>
      <c r="C14" s="1348"/>
      <c r="D14" s="1349" t="s">
        <v>213</v>
      </c>
      <c r="E14" s="1350"/>
      <c r="F14" s="1349" t="s">
        <v>214</v>
      </c>
      <c r="G14" s="1350"/>
      <c r="H14" s="1349" t="s">
        <v>92</v>
      </c>
      <c r="I14" s="1350"/>
      <c r="J14" s="1349" t="s">
        <v>93</v>
      </c>
      <c r="K14" s="1350"/>
    </row>
    <row r="15" spans="1:24" ht="15.95" hidden="1" customHeight="1" x14ac:dyDescent="0.25">
      <c r="A15" s="1347"/>
      <c r="B15" s="438" t="s">
        <v>12</v>
      </c>
      <c r="C15" s="436" t="s">
        <v>11</v>
      </c>
      <c r="D15" s="436" t="s">
        <v>12</v>
      </c>
      <c r="E15" s="436" t="s">
        <v>11</v>
      </c>
      <c r="F15" s="436" t="s">
        <v>12</v>
      </c>
      <c r="G15" s="436" t="s">
        <v>11</v>
      </c>
      <c r="H15" s="436" t="s">
        <v>12</v>
      </c>
      <c r="I15" s="436" t="s">
        <v>11</v>
      </c>
      <c r="J15" s="436" t="s">
        <v>12</v>
      </c>
      <c r="K15" s="436" t="s">
        <v>11</v>
      </c>
    </row>
    <row r="16" spans="1:24" ht="17.100000000000001" hidden="1" customHeight="1" x14ac:dyDescent="0.25">
      <c r="A16" s="339" t="s">
        <v>113</v>
      </c>
      <c r="B16" s="418" t="e">
        <f>Ц4/60</f>
        <v>#NAME?</v>
      </c>
      <c r="C16" s="419" t="e">
        <f>Е4/60</f>
        <v>#NAME?</v>
      </c>
      <c r="D16" s="421" t="e">
        <f>Г4/60</f>
        <v>#NAME?</v>
      </c>
      <c r="E16" s="420" t="e">
        <f>И4/60</f>
        <v>#NAME?</v>
      </c>
      <c r="F16" s="418" t="e">
        <f>К4/60</f>
        <v>#NAME?</v>
      </c>
      <c r="G16" s="419" t="e">
        <f>М4/60</f>
        <v>#NAME?</v>
      </c>
      <c r="H16" s="421" t="e">
        <f>О4/60</f>
        <v>#NAME?</v>
      </c>
      <c r="I16" s="420">
        <f t="shared" ref="I16:I21" si="0">I5/60</f>
        <v>4.6461378537981899</v>
      </c>
      <c r="J16" s="418" t="e">
        <f>С4/60</f>
        <v>#NAME?</v>
      </c>
      <c r="K16" s="419" t="e">
        <f>У4/60</f>
        <v>#NAME?</v>
      </c>
    </row>
    <row r="17" spans="1:11" ht="17.100000000000001" hidden="1" customHeight="1" x14ac:dyDescent="0.25">
      <c r="A17" s="339" t="s">
        <v>114</v>
      </c>
      <c r="B17" s="418" t="e">
        <f>Ц5/60</f>
        <v>#NAME?</v>
      </c>
      <c r="C17" s="419" t="e">
        <f>Е5/60</f>
        <v>#NAME?</v>
      </c>
      <c r="D17" s="421" t="e">
        <f>Г5/60</f>
        <v>#NAME?</v>
      </c>
      <c r="E17" s="419" t="e">
        <f>И5/60</f>
        <v>#NAME?</v>
      </c>
      <c r="F17" s="418" t="e">
        <f>К5/60</f>
        <v>#NAME?</v>
      </c>
      <c r="G17" s="419" t="e">
        <f>М5/60</f>
        <v>#NAME?</v>
      </c>
      <c r="H17" s="421"/>
      <c r="I17" s="420">
        <f t="shared" si="0"/>
        <v>4.9227491614544627</v>
      </c>
      <c r="J17" s="418" t="e">
        <f>С5/60</f>
        <v>#NAME?</v>
      </c>
      <c r="K17" s="419" t="e">
        <f>У5/60</f>
        <v>#NAME?</v>
      </c>
    </row>
    <row r="18" spans="1:11" ht="17.100000000000001" hidden="1" customHeight="1" x14ac:dyDescent="0.25">
      <c r="A18" s="339" t="s">
        <v>115</v>
      </c>
      <c r="B18" s="422" t="e">
        <f>Ц6/60</f>
        <v>#NAME?</v>
      </c>
      <c r="C18" s="423" t="e">
        <f>Е6/60</f>
        <v>#NAME?</v>
      </c>
      <c r="D18" s="422" t="e">
        <f>Г6/60</f>
        <v>#NAME?</v>
      </c>
      <c r="E18" s="423" t="e">
        <f>И6/60</f>
        <v>#NAME?</v>
      </c>
      <c r="F18" s="422" t="e">
        <f>К6/60</f>
        <v>#NAME?</v>
      </c>
      <c r="G18" s="423" t="e">
        <f>М6/60</f>
        <v>#NAME?</v>
      </c>
      <c r="H18" s="422"/>
      <c r="I18" s="423">
        <f t="shared" si="0"/>
        <v>0</v>
      </c>
      <c r="J18" s="422" t="e">
        <f>С6/60</f>
        <v>#NAME?</v>
      </c>
      <c r="K18" s="423" t="e">
        <f>У6/60</f>
        <v>#NAME?</v>
      </c>
    </row>
    <row r="19" spans="1:11" ht="17.100000000000001" hidden="1" customHeight="1" x14ac:dyDescent="0.25">
      <c r="A19" s="339" t="s">
        <v>116</v>
      </c>
      <c r="B19" s="418" t="e">
        <f>Ц7/60</f>
        <v>#NAME?</v>
      </c>
      <c r="C19" s="419" t="e">
        <f>Е7/60</f>
        <v>#NAME?</v>
      </c>
      <c r="D19" s="421" t="e">
        <f>Г7/60</f>
        <v>#NAME?</v>
      </c>
      <c r="E19" s="420" t="e">
        <f>И7/60</f>
        <v>#NAME?</v>
      </c>
      <c r="F19" s="418" t="e">
        <f>К7/60</f>
        <v>#NAME?</v>
      </c>
      <c r="G19" s="419" t="e">
        <f>М7/60</f>
        <v>#NAME?</v>
      </c>
      <c r="H19" s="421"/>
      <c r="I19" s="420">
        <f t="shared" si="0"/>
        <v>10.488754925562738</v>
      </c>
      <c r="J19" s="418" t="e">
        <f>С7/60</f>
        <v>#NAME?</v>
      </c>
      <c r="K19" s="419" t="e">
        <f>У7/60</f>
        <v>#NAME?</v>
      </c>
    </row>
    <row r="20" spans="1:11" ht="17.100000000000001" hidden="1" customHeight="1" x14ac:dyDescent="0.25">
      <c r="A20" s="339" t="s">
        <v>168</v>
      </c>
      <c r="B20" s="418" t="e">
        <f>Ц8/60</f>
        <v>#NAME?</v>
      </c>
      <c r="C20" s="419" t="e">
        <f>Е8/60</f>
        <v>#NAME?</v>
      </c>
      <c r="D20" s="421" t="e">
        <f>Г8/60</f>
        <v>#NAME?</v>
      </c>
      <c r="E20" s="420" t="e">
        <f>И8/60</f>
        <v>#NAME?</v>
      </c>
      <c r="F20" s="418" t="e">
        <f>К8/60</f>
        <v>#NAME?</v>
      </c>
      <c r="G20" s="419" t="e">
        <f>М8/60</f>
        <v>#NAME?</v>
      </c>
      <c r="H20" s="421"/>
      <c r="I20" s="420">
        <f t="shared" si="0"/>
        <v>3.9257280107290566</v>
      </c>
      <c r="J20" s="418" t="e">
        <f>С8/60</f>
        <v>#NAME?</v>
      </c>
      <c r="K20" s="419" t="e">
        <f>У8/60</f>
        <v>#NAME?</v>
      </c>
    </row>
    <row r="21" spans="1:11" ht="17.100000000000001" hidden="1" customHeight="1" x14ac:dyDescent="0.25">
      <c r="A21" s="424" t="s">
        <v>118</v>
      </c>
      <c r="B21" s="418" t="e">
        <f>Ц9/60</f>
        <v>#NAME?</v>
      </c>
      <c r="C21" s="419" t="e">
        <f>Е9/60</f>
        <v>#NAME?</v>
      </c>
      <c r="D21" s="421" t="e">
        <f>Г9/60</f>
        <v>#NAME?</v>
      </c>
      <c r="E21" s="420" t="e">
        <f>И9/60</f>
        <v>#NAME?</v>
      </c>
      <c r="F21" s="418" t="e">
        <f>К9/60</f>
        <v>#NAME?</v>
      </c>
      <c r="G21" s="419" t="e">
        <f>М9/60</f>
        <v>#NAME?</v>
      </c>
      <c r="H21" s="421"/>
      <c r="I21" s="420">
        <f t="shared" si="0"/>
        <v>1.663004845555556E-2</v>
      </c>
      <c r="J21" s="418" t="e">
        <f>С9/60</f>
        <v>#NAME?</v>
      </c>
      <c r="K21" s="419" t="e">
        <f>У9/60</f>
        <v>#NAME?</v>
      </c>
    </row>
    <row r="22" spans="1:11" hidden="1" x14ac:dyDescent="0.25"/>
    <row r="23" spans="1:11" hidden="1" x14ac:dyDescent="0.25"/>
    <row r="24" spans="1:11" ht="15.95" hidden="1" customHeight="1" x14ac:dyDescent="0.25">
      <c r="A24" s="1346"/>
      <c r="B24" s="1348" t="s">
        <v>212</v>
      </c>
      <c r="C24" s="1348"/>
      <c r="D24" s="1349" t="s">
        <v>213</v>
      </c>
      <c r="E24" s="1350"/>
      <c r="F24" s="1349" t="s">
        <v>214</v>
      </c>
      <c r="G24" s="1350"/>
      <c r="H24" s="1349" t="s">
        <v>92</v>
      </c>
      <c r="I24" s="1350"/>
      <c r="J24" s="1349" t="s">
        <v>93</v>
      </c>
      <c r="K24" s="1350"/>
    </row>
    <row r="25" spans="1:11" ht="15.95" hidden="1" customHeight="1" x14ac:dyDescent="0.25">
      <c r="A25" s="1347"/>
      <c r="B25" s="438" t="s">
        <v>12</v>
      </c>
      <c r="C25" s="436" t="s">
        <v>11</v>
      </c>
      <c r="D25" s="436" t="s">
        <v>12</v>
      </c>
      <c r="E25" s="436" t="s">
        <v>11</v>
      </c>
      <c r="F25" s="436" t="s">
        <v>12</v>
      </c>
      <c r="G25" s="436" t="s">
        <v>11</v>
      </c>
      <c r="H25" s="436" t="s">
        <v>12</v>
      </c>
      <c r="I25" s="436" t="s">
        <v>11</v>
      </c>
      <c r="J25" s="436" t="s">
        <v>12</v>
      </c>
      <c r="K25" s="436" t="s">
        <v>11</v>
      </c>
    </row>
    <row r="26" spans="1:11" ht="17.100000000000001" hidden="1" customHeight="1" x14ac:dyDescent="0.25">
      <c r="A26" s="339" t="s">
        <v>113</v>
      </c>
      <c r="B26" s="425" t="e">
        <f ca="1">ТЕXТ(Ц4/1440,"х:мм")</f>
        <v>#NAME?</v>
      </c>
      <c r="C26" s="426" t="e">
        <f ca="1">ТЕXТ(Е4/1440,"х:мм")</f>
        <v>#NAME?</v>
      </c>
      <c r="D26" s="425" t="e">
        <f ca="1">ТЕXТ(Г4/1440,"х:мм")</f>
        <v>#NAME?</v>
      </c>
      <c r="E26" s="426" t="e">
        <f ca="1">ТЕXТ(И4/1440,"х:мм")</f>
        <v>#NAME?</v>
      </c>
      <c r="F26" s="425" t="e">
        <f ca="1">ТЕXТ(К4/1440,"х:мм")</f>
        <v>#NAME?</v>
      </c>
      <c r="G26" s="426" t="e">
        <f ca="1">ТЕXТ(М4/1440,"х:мм")</f>
        <v>#NAME?</v>
      </c>
      <c r="H26" s="427" t="e">
        <f ca="1">ТЕXТ(О4/1440,"х:мм")</f>
        <v>#NAME?</v>
      </c>
      <c r="I26" s="425" t="e">
        <f t="shared" ref="I26:I31" ca="1" si="1">ТЕXТ(I5/1440,"х:мм")</f>
        <v>#NAME?</v>
      </c>
      <c r="J26" s="426" t="e">
        <f ca="1">ТЕXТ(С4/1440,"х:мм")</f>
        <v>#NAME?</v>
      </c>
      <c r="K26" s="426" t="e">
        <f ca="1">ТЕXТ(У4/1440,"х:мм")</f>
        <v>#NAME?</v>
      </c>
    </row>
    <row r="27" spans="1:11" ht="17.100000000000001" hidden="1" customHeight="1" x14ac:dyDescent="0.25">
      <c r="A27" s="339" t="s">
        <v>114</v>
      </c>
      <c r="B27" s="425" t="e">
        <f ca="1">ТЕXТ(Ц5/1440,"х:мм")</f>
        <v>#NAME?</v>
      </c>
      <c r="C27" s="426" t="e">
        <f ca="1">ТЕXТ(Е5/1440,"х:мм")</f>
        <v>#NAME?</v>
      </c>
      <c r="D27" s="425" t="e">
        <f ca="1">ТЕXТ(Г5/1440,"х:мм")</f>
        <v>#NAME?</v>
      </c>
      <c r="E27" s="426" t="e">
        <f ca="1">ТЕXТ(И5/1440,"х:мм")</f>
        <v>#NAME?</v>
      </c>
      <c r="F27" s="425" t="e">
        <f ca="1">ТЕXТ(К5/1440,"х:мм")</f>
        <v>#NAME?</v>
      </c>
      <c r="G27" s="426" t="e">
        <f ca="1">ТЕXТ(М5/1440,"х:мм")</f>
        <v>#NAME?</v>
      </c>
      <c r="H27" s="427" t="e">
        <f ca="1">ТЕXТ(О5/1440,"х:мм")</f>
        <v>#NAME?</v>
      </c>
      <c r="I27" s="426" t="e">
        <f t="shared" ca="1" si="1"/>
        <v>#NAME?</v>
      </c>
      <c r="J27" s="426" t="e">
        <f ca="1">ТЕXТ(С5/1440,"х:мм")</f>
        <v>#NAME?</v>
      </c>
      <c r="K27" s="426" t="e">
        <f ca="1">ТЕXТ(У5/1440,"х:мм")</f>
        <v>#NAME?</v>
      </c>
    </row>
    <row r="28" spans="1:11" ht="17.100000000000001" hidden="1" customHeight="1" x14ac:dyDescent="0.25">
      <c r="A28" s="339" t="s">
        <v>115</v>
      </c>
      <c r="B28" s="427" t="e">
        <f ca="1">ТЕXТ(Ц6/1440,"х:мм")</f>
        <v>#NAME?</v>
      </c>
      <c r="C28" s="428" t="e">
        <f ca="1">ТЕXТ(Е6/1440,"х:мм")</f>
        <v>#NAME?</v>
      </c>
      <c r="D28" s="427" t="e">
        <f ca="1">ТЕXТ(Г6/1440,"х:мм")</f>
        <v>#NAME?</v>
      </c>
      <c r="E28" s="428" t="e">
        <f ca="1">ТЕXТ(И6/1440,"х:мм")</f>
        <v>#NAME?</v>
      </c>
      <c r="F28" s="427" t="e">
        <f ca="1">ТЕXТ(К6/1440,"х:мм")</f>
        <v>#NAME?</v>
      </c>
      <c r="G28" s="428" t="e">
        <f ca="1">ТЕXТ(М6/1440,"х:мм")</f>
        <v>#NAME?</v>
      </c>
      <c r="H28" s="427" t="e">
        <f ca="1">ТЕXТ(О6/1440,"х:мм")</f>
        <v>#NAME?</v>
      </c>
      <c r="I28" s="428" t="e">
        <f t="shared" ca="1" si="1"/>
        <v>#NAME?</v>
      </c>
      <c r="J28" s="428" t="e">
        <f ca="1">ТЕXТ(С6/1440,"х:мм")</f>
        <v>#NAME?</v>
      </c>
      <c r="K28" s="428" t="e">
        <f ca="1">ТЕXТ(У6/1440,"х:мм")</f>
        <v>#NAME?</v>
      </c>
    </row>
    <row r="29" spans="1:11" ht="17.100000000000001" hidden="1" customHeight="1" x14ac:dyDescent="0.25">
      <c r="A29" s="339" t="s">
        <v>116</v>
      </c>
      <c r="B29" s="425" t="e">
        <f ca="1">ТЕXТ(Ц7/1440,"х:мм")</f>
        <v>#NAME?</v>
      </c>
      <c r="C29" s="426" t="e">
        <f ca="1">ТЕXТ(Е7/1440,"х:мм")</f>
        <v>#NAME?</v>
      </c>
      <c r="D29" s="425" t="e">
        <f ca="1">ТЕXТ(Г7/1440,"х:мм")</f>
        <v>#NAME?</v>
      </c>
      <c r="E29" s="426" t="e">
        <f ca="1">ТЕXТ(И7/1440,"х:мм")</f>
        <v>#NAME?</v>
      </c>
      <c r="F29" s="425" t="e">
        <f ca="1">ТЕXТ(К7/1440,"х:мм")</f>
        <v>#NAME?</v>
      </c>
      <c r="G29" s="426" t="e">
        <f ca="1">ТЕXТ(М7/1440,"х:мм")</f>
        <v>#NAME?</v>
      </c>
      <c r="H29" s="427" t="e">
        <f ca="1">ТЕXТ(О7/1440,"х:мм")</f>
        <v>#NAME?</v>
      </c>
      <c r="I29" s="425" t="e">
        <f t="shared" ca="1" si="1"/>
        <v>#NAME?</v>
      </c>
      <c r="J29" s="426" t="e">
        <f ca="1">ТЕXТ(С7/1440,"х:мм")</f>
        <v>#NAME?</v>
      </c>
      <c r="K29" s="426" t="e">
        <f ca="1">ТЕXТ(У7/1440,"х:мм")</f>
        <v>#NAME?</v>
      </c>
    </row>
    <row r="30" spans="1:11" s="429" customFormat="1" ht="17.100000000000001" hidden="1" customHeight="1" x14ac:dyDescent="0.25">
      <c r="A30" s="429" t="s">
        <v>168</v>
      </c>
      <c r="B30" s="427" t="e">
        <f ca="1">ТЕXТ(Ц8/1440,"х:мм")</f>
        <v>#NAME?</v>
      </c>
      <c r="C30" s="428" t="e">
        <f ca="1">ТЕXТ(Е8/1440,"х:мм")</f>
        <v>#NAME?</v>
      </c>
      <c r="D30" s="427" t="e">
        <f ca="1">ТЕXТ(Г8/1440,"х:мм")</f>
        <v>#NAME?</v>
      </c>
      <c r="E30" s="428" t="e">
        <f ca="1">ТЕXТ(И8/1440,"х:мм")</f>
        <v>#NAME?</v>
      </c>
      <c r="F30" s="427" t="e">
        <f ca="1">ТЕXТ(К8/1440,"х:мм")</f>
        <v>#NAME?</v>
      </c>
      <c r="G30" s="428" t="e">
        <f ca="1">ТЕXТ(М8/1440,"х:мм")</f>
        <v>#NAME?</v>
      </c>
      <c r="H30" s="427" t="e">
        <f ca="1">ТЕXТ(О8/1440,"х:мм")</f>
        <v>#NAME?</v>
      </c>
      <c r="I30" s="428" t="e">
        <f t="shared" ca="1" si="1"/>
        <v>#NAME?</v>
      </c>
      <c r="J30" s="428" t="e">
        <f ca="1">ТЕXТ(С8/1440,"х:мм")</f>
        <v>#NAME?</v>
      </c>
      <c r="K30" s="428" t="e">
        <f ca="1">ТЕXТ(У8/1440,"х:мм")</f>
        <v>#NAME?</v>
      </c>
    </row>
    <row r="31" spans="1:11" ht="17.100000000000001" hidden="1" customHeight="1" x14ac:dyDescent="0.25">
      <c r="A31" s="424" t="s">
        <v>118</v>
      </c>
      <c r="B31" s="425" t="e">
        <f ca="1">ТЕXТ(Ц9/1440,"х:мм")</f>
        <v>#NAME?</v>
      </c>
      <c r="C31" s="426" t="e">
        <f ca="1">ТЕXТ(Е9/1440,"х:мм")</f>
        <v>#NAME?</v>
      </c>
      <c r="D31" s="425" t="e">
        <f ca="1">ТЕXТ(Г9/1440,"х:мм")</f>
        <v>#NAME?</v>
      </c>
      <c r="E31" s="426" t="e">
        <f ca="1">ТЕXТ(И9/1440,"х:мм")</f>
        <v>#NAME?</v>
      </c>
      <c r="F31" s="425" t="e">
        <f ca="1">ТЕXТ(К9/1440,"х:мм")</f>
        <v>#NAME?</v>
      </c>
      <c r="G31" s="426" t="e">
        <f ca="1">ТЕXТ(М9/1440,"х:мм")</f>
        <v>#NAME?</v>
      </c>
      <c r="H31" s="427" t="e">
        <f ca="1">ТЕXТ(О9/1440,"х:мм")</f>
        <v>#NAME?</v>
      </c>
      <c r="I31" s="426" t="e">
        <f t="shared" ca="1" si="1"/>
        <v>#NAME?</v>
      </c>
      <c r="J31" s="426" t="e">
        <f ca="1">ТЕXТ(С9/1440,"х:мм")</f>
        <v>#NAME?</v>
      </c>
      <c r="K31" s="426" t="e">
        <f ca="1">ТЕXТ(У9/1440,"х:мм")</f>
        <v>#NAME?</v>
      </c>
    </row>
    <row r="32" spans="1:11" hidden="1" x14ac:dyDescent="0.25"/>
    <row r="33" spans="1:11" ht="46.5" hidden="1" customHeight="1" x14ac:dyDescent="0.25">
      <c r="A33" s="1346"/>
      <c r="B33" s="439" t="s">
        <v>212</v>
      </c>
      <c r="C33" s="437" t="s">
        <v>213</v>
      </c>
      <c r="D33" s="437" t="s">
        <v>214</v>
      </c>
      <c r="E33" s="437" t="s">
        <v>92</v>
      </c>
      <c r="F33" s="437" t="s">
        <v>93</v>
      </c>
      <c r="G33" s="430"/>
      <c r="I33" s="430"/>
    </row>
    <row r="34" spans="1:11" ht="15.95" hidden="1" customHeight="1" x14ac:dyDescent="0.25">
      <c r="A34" s="1347"/>
      <c r="B34" s="431" t="s">
        <v>12</v>
      </c>
      <c r="C34" s="432" t="s">
        <v>12</v>
      </c>
      <c r="D34" s="432" t="s">
        <v>12</v>
      </c>
      <c r="E34" s="432" t="s">
        <v>12</v>
      </c>
      <c r="F34" s="432" t="s">
        <v>12</v>
      </c>
      <c r="G34" s="433"/>
    </row>
    <row r="35" spans="1:11" ht="17.100000000000001" hidden="1" customHeight="1" x14ac:dyDescent="0.25">
      <c r="A35" s="339" t="s">
        <v>113</v>
      </c>
      <c r="B35" s="418" t="e">
        <f>Ц23/60</f>
        <v>#NAME?</v>
      </c>
      <c r="C35" s="419" t="e">
        <f>Е23/60</f>
        <v>#NAME?</v>
      </c>
      <c r="D35" s="421" t="e">
        <f>Г23/60</f>
        <v>#NAME?</v>
      </c>
      <c r="E35" s="420" t="e">
        <f>И23/60</f>
        <v>#NAME?</v>
      </c>
      <c r="F35" s="418" t="e">
        <f>К23/60</f>
        <v>#NAME?</v>
      </c>
      <c r="G35" s="419" t="e">
        <f>М23/60</f>
        <v>#NAME?</v>
      </c>
      <c r="H35" s="421" t="e">
        <f>О23/60</f>
        <v>#NAME?</v>
      </c>
      <c r="I35" s="420">
        <f t="shared" ref="I35:I40" si="2">I24/60</f>
        <v>0</v>
      </c>
      <c r="J35" s="418" t="e">
        <f>С23/60</f>
        <v>#NAME?</v>
      </c>
      <c r="K35" s="419" t="e">
        <f>У23/60</f>
        <v>#NAME?</v>
      </c>
    </row>
    <row r="36" spans="1:11" ht="17.100000000000001" hidden="1" customHeight="1" x14ac:dyDescent="0.25">
      <c r="A36" s="339" t="s">
        <v>114</v>
      </c>
      <c r="B36" s="418" t="e">
        <f>Ц24/60</f>
        <v>#NAME?</v>
      </c>
      <c r="C36" s="419" t="e">
        <f>Е24/60</f>
        <v>#NAME?</v>
      </c>
      <c r="D36" s="421" t="e">
        <f>Г24/60</f>
        <v>#NAME?</v>
      </c>
      <c r="E36" s="420" t="e">
        <f>И24/60</f>
        <v>#NAME?</v>
      </c>
      <c r="F36" s="418" t="e">
        <f>К24/60</f>
        <v>#NAME?</v>
      </c>
      <c r="G36" s="419" t="e">
        <f>М24/60</f>
        <v>#NAME?</v>
      </c>
      <c r="H36" s="421"/>
      <c r="I36" s="420" t="e">
        <f t="shared" si="2"/>
        <v>#VALUE!</v>
      </c>
      <c r="J36" s="418" t="e">
        <f>С24/60</f>
        <v>#NAME?</v>
      </c>
      <c r="K36" s="419" t="e">
        <f>У24/60</f>
        <v>#NAME?</v>
      </c>
    </row>
    <row r="37" spans="1:11" ht="17.100000000000001" hidden="1" customHeight="1" x14ac:dyDescent="0.25">
      <c r="A37" s="339" t="s">
        <v>115</v>
      </c>
      <c r="B37" s="422" t="e">
        <f>Ц25/60</f>
        <v>#NAME?</v>
      </c>
      <c r="C37" s="423" t="e">
        <f>Е25/60</f>
        <v>#NAME?</v>
      </c>
      <c r="D37" s="422" t="e">
        <f>Г25/60</f>
        <v>#NAME?</v>
      </c>
      <c r="E37" s="423" t="e">
        <f>И25/60</f>
        <v>#NAME?</v>
      </c>
      <c r="F37" s="422" t="e">
        <f>К25/60</f>
        <v>#NAME?</v>
      </c>
      <c r="G37" s="423" t="e">
        <f>М25/60</f>
        <v>#NAME?</v>
      </c>
      <c r="H37" s="422"/>
      <c r="I37" s="423" t="e">
        <f t="shared" ca="1" si="2"/>
        <v>#NAME?</v>
      </c>
      <c r="J37" s="422" t="e">
        <f>С25/60</f>
        <v>#NAME?</v>
      </c>
      <c r="K37" s="423" t="e">
        <f>У25/60</f>
        <v>#NAME?</v>
      </c>
    </row>
    <row r="38" spans="1:11" ht="17.100000000000001" hidden="1" customHeight="1" x14ac:dyDescent="0.25">
      <c r="A38" s="339" t="s">
        <v>116</v>
      </c>
      <c r="B38" s="418" t="e">
        <f>Ц26/60</f>
        <v>#NAME?</v>
      </c>
      <c r="C38" s="419" t="e">
        <f>Е26/60</f>
        <v>#NAME?</v>
      </c>
      <c r="D38" s="421" t="e">
        <f>Г26/60</f>
        <v>#NAME?</v>
      </c>
      <c r="E38" s="420" t="e">
        <f>И26/60</f>
        <v>#NAME?</v>
      </c>
      <c r="F38" s="418" t="e">
        <f>К26/60</f>
        <v>#NAME?</v>
      </c>
      <c r="G38" s="419" t="e">
        <f>М26/60</f>
        <v>#NAME?</v>
      </c>
      <c r="H38" s="421"/>
      <c r="I38" s="420" t="e">
        <f t="shared" ca="1" si="2"/>
        <v>#NAME?</v>
      </c>
      <c r="J38" s="418" t="e">
        <f>С26/60</f>
        <v>#NAME?</v>
      </c>
      <c r="K38" s="419" t="e">
        <f>У26/60</f>
        <v>#NAME?</v>
      </c>
    </row>
    <row r="39" spans="1:11" ht="17.100000000000001" hidden="1" customHeight="1" x14ac:dyDescent="0.25">
      <c r="A39" s="339" t="s">
        <v>117</v>
      </c>
      <c r="B39" s="418" t="e">
        <f>Ц27/60</f>
        <v>#NAME?</v>
      </c>
      <c r="C39" s="419" t="e">
        <f>Е27/60</f>
        <v>#NAME?</v>
      </c>
      <c r="D39" s="421" t="e">
        <f>Г27/60</f>
        <v>#NAME?</v>
      </c>
      <c r="E39" s="420" t="e">
        <f>И27/60</f>
        <v>#NAME?</v>
      </c>
      <c r="F39" s="418" t="e">
        <f>К27/60</f>
        <v>#NAME?</v>
      </c>
      <c r="G39" s="419" t="e">
        <f>М27/60</f>
        <v>#NAME?</v>
      </c>
      <c r="H39" s="421"/>
      <c r="I39" s="420" t="e">
        <f t="shared" ca="1" si="2"/>
        <v>#NAME?</v>
      </c>
      <c r="J39" s="418" t="e">
        <f>С27/60</f>
        <v>#NAME?</v>
      </c>
      <c r="K39" s="419" t="e">
        <f>У27/60</f>
        <v>#NAME?</v>
      </c>
    </row>
    <row r="40" spans="1:11" ht="17.100000000000001" hidden="1" customHeight="1" x14ac:dyDescent="0.25">
      <c r="A40" s="424" t="s">
        <v>118</v>
      </c>
      <c r="B40" s="418" t="e">
        <f>Ц28/60</f>
        <v>#NAME?</v>
      </c>
      <c r="C40" s="419" t="e">
        <f>Е28/60</f>
        <v>#NAME?</v>
      </c>
      <c r="D40" s="421" t="e">
        <f>Г28/60</f>
        <v>#NAME?</v>
      </c>
      <c r="E40" s="420" t="e">
        <f>И28/60</f>
        <v>#NAME?</v>
      </c>
      <c r="F40" s="418" t="e">
        <f>К28/60</f>
        <v>#NAME?</v>
      </c>
      <c r="G40" s="419" t="e">
        <f>М28/60</f>
        <v>#NAME?</v>
      </c>
      <c r="H40" s="421"/>
      <c r="I40" s="420" t="e">
        <f t="shared" ca="1" si="2"/>
        <v>#NAME?</v>
      </c>
      <c r="J40" s="418" t="e">
        <f>С28/60</f>
        <v>#NAME?</v>
      </c>
      <c r="K40" s="419" t="e">
        <f>У28/60</f>
        <v>#NAME?</v>
      </c>
    </row>
    <row r="41" spans="1:11" hidden="1" x14ac:dyDescent="0.25"/>
    <row r="42" spans="1:11" hidden="1" x14ac:dyDescent="0.25"/>
    <row r="43" spans="1:11" hidden="1" x14ac:dyDescent="0.25"/>
    <row r="44" spans="1:11" hidden="1" x14ac:dyDescent="0.25">
      <c r="A44" s="339" t="s">
        <v>299</v>
      </c>
      <c r="E44" s="428" t="s">
        <v>304</v>
      </c>
    </row>
    <row r="45" spans="1:11" hidden="1" x14ac:dyDescent="0.25"/>
    <row r="46" spans="1:11" hidden="1" x14ac:dyDescent="0.25"/>
    <row r="47" spans="1:11" hidden="1" x14ac:dyDescent="0.25"/>
    <row r="48" spans="1:11" hidden="1" x14ac:dyDescent="0.25"/>
    <row r="49" spans="1:11" hidden="1" x14ac:dyDescent="0.25"/>
    <row r="52" spans="1:11" ht="31.5" customHeight="1" x14ac:dyDescent="0.25">
      <c r="A52" s="1345" t="s">
        <v>608</v>
      </c>
      <c r="B52" s="1345"/>
      <c r="C52" s="1345"/>
      <c r="D52" s="1345"/>
      <c r="E52" s="1345"/>
      <c r="F52" s="1345"/>
      <c r="G52" s="1345"/>
      <c r="H52" s="1345"/>
      <c r="I52" s="1345"/>
      <c r="J52" s="1345"/>
      <c r="K52" s="1345"/>
    </row>
    <row r="53" spans="1:11" ht="15.75" thickBot="1" x14ac:dyDescent="0.3"/>
    <row r="54" spans="1:11" ht="37.5" customHeight="1" x14ac:dyDescent="0.25">
      <c r="A54" s="1328"/>
      <c r="B54" s="1331" t="s">
        <v>89</v>
      </c>
      <c r="C54" s="1332"/>
      <c r="D54" s="1333" t="s">
        <v>90</v>
      </c>
      <c r="E54" s="1334"/>
      <c r="F54" s="1335" t="s">
        <v>91</v>
      </c>
      <c r="G54" s="1336"/>
      <c r="H54" s="1333" t="s">
        <v>490</v>
      </c>
      <c r="I54" s="1334"/>
      <c r="J54" s="1335" t="s">
        <v>491</v>
      </c>
      <c r="K54" s="1336"/>
    </row>
    <row r="55" spans="1:11" ht="15.75" thickBot="1" x14ac:dyDescent="0.3">
      <c r="A55" s="1329"/>
      <c r="B55" s="583" t="s">
        <v>12</v>
      </c>
      <c r="C55" s="584" t="s">
        <v>11</v>
      </c>
      <c r="D55" s="585" t="s">
        <v>12</v>
      </c>
      <c r="E55" s="586" t="s">
        <v>11</v>
      </c>
      <c r="F55" s="583" t="s">
        <v>12</v>
      </c>
      <c r="G55" s="584" t="s">
        <v>11</v>
      </c>
      <c r="H55" s="585" t="s">
        <v>12</v>
      </c>
      <c r="I55" s="586" t="s">
        <v>11</v>
      </c>
      <c r="J55" s="583" t="s">
        <v>12</v>
      </c>
      <c r="K55" s="584" t="s">
        <v>11</v>
      </c>
    </row>
    <row r="56" spans="1:11" x14ac:dyDescent="0.25">
      <c r="A56" s="587" t="s">
        <v>113</v>
      </c>
      <c r="B56" s="588">
        <v>3.1624096012385747</v>
      </c>
      <c r="C56" s="589">
        <v>2.4969422613762497</v>
      </c>
      <c r="D56" s="590">
        <v>6.4909005499353896</v>
      </c>
      <c r="E56" s="591">
        <v>2.1792229534200711</v>
      </c>
      <c r="F56" s="588">
        <v>6.0991156651985756</v>
      </c>
      <c r="G56" s="589">
        <v>4.2882257687520484</v>
      </c>
      <c r="H56" s="590"/>
      <c r="I56" s="591">
        <v>4.6461378537981899</v>
      </c>
      <c r="J56" s="588">
        <v>3.5168518483638049</v>
      </c>
      <c r="K56" s="589">
        <v>1.7266078358478076</v>
      </c>
    </row>
    <row r="57" spans="1:11" x14ac:dyDescent="0.25">
      <c r="A57" s="592" t="s">
        <v>114</v>
      </c>
      <c r="B57" s="593">
        <v>2.5088613528105119</v>
      </c>
      <c r="C57" s="594">
        <v>4.7011408917584596</v>
      </c>
      <c r="D57" s="595">
        <v>2.4929587621560998</v>
      </c>
      <c r="E57" s="596">
        <v>7.0244782978318874</v>
      </c>
      <c r="F57" s="593">
        <v>1.7359826930119335</v>
      </c>
      <c r="G57" s="594">
        <v>4.5931435545656649</v>
      </c>
      <c r="H57" s="595"/>
      <c r="I57" s="596">
        <v>4.9227491614544627</v>
      </c>
      <c r="J57" s="593">
        <v>1.6247612723961278</v>
      </c>
      <c r="K57" s="594">
        <v>2.9922483580468611</v>
      </c>
    </row>
    <row r="58" spans="1:11" x14ac:dyDescent="0.25">
      <c r="A58" s="592" t="s">
        <v>115</v>
      </c>
      <c r="B58" s="593">
        <v>1.2784364438167078E-2</v>
      </c>
      <c r="C58" s="594">
        <v>6.2511107502022212E-2</v>
      </c>
      <c r="D58" s="595">
        <v>0</v>
      </c>
      <c r="E58" s="596">
        <v>8.562375824048056E-2</v>
      </c>
      <c r="F58" s="593">
        <v>0</v>
      </c>
      <c r="G58" s="594">
        <v>3.1968057768549047E-3</v>
      </c>
      <c r="H58" s="595"/>
      <c r="I58" s="596">
        <v>0</v>
      </c>
      <c r="J58" s="593">
        <v>0.95376972428833051</v>
      </c>
      <c r="K58" s="594">
        <v>0.93612102916676132</v>
      </c>
    </row>
    <row r="59" spans="1:11" x14ac:dyDescent="0.25">
      <c r="A59" s="592" t="s">
        <v>116</v>
      </c>
      <c r="B59" s="593">
        <v>11.70826957404063</v>
      </c>
      <c r="C59" s="594">
        <v>11.5015073836508</v>
      </c>
      <c r="D59" s="595">
        <v>10.549017892381581</v>
      </c>
      <c r="E59" s="596">
        <v>10.643013508497569</v>
      </c>
      <c r="F59" s="593">
        <v>10.922740862517401</v>
      </c>
      <c r="G59" s="594">
        <v>10.860160279726683</v>
      </c>
      <c r="H59" s="595"/>
      <c r="I59" s="596">
        <v>10.488754925562738</v>
      </c>
      <c r="J59" s="593">
        <v>11.387896145082342</v>
      </c>
      <c r="K59" s="594">
        <v>12.030711065197719</v>
      </c>
    </row>
    <row r="60" spans="1:11" x14ac:dyDescent="0.25">
      <c r="A60" s="1124" t="s">
        <v>168</v>
      </c>
      <c r="B60" s="1125">
        <v>6.5832131698153056</v>
      </c>
      <c r="C60" s="1126">
        <v>5.2260450858934462</v>
      </c>
      <c r="D60" s="1127">
        <v>4.4499771850243128</v>
      </c>
      <c r="E60" s="1128">
        <v>4.060190447734362</v>
      </c>
      <c r="F60" s="1125">
        <v>5.2359789010115092</v>
      </c>
      <c r="G60" s="1126">
        <v>4.2470162215650218</v>
      </c>
      <c r="H60" s="1127"/>
      <c r="I60" s="1128">
        <v>3.9257280107290566</v>
      </c>
      <c r="J60" s="1125">
        <v>6.4885075532078531</v>
      </c>
      <c r="K60" s="1126">
        <v>6.2987451912762777</v>
      </c>
    </row>
    <row r="61" spans="1:11" ht="15.75" thickBot="1" x14ac:dyDescent="0.3">
      <c r="A61" s="1129" t="s">
        <v>118</v>
      </c>
      <c r="B61" s="1130">
        <v>2.4461937656806199E-2</v>
      </c>
      <c r="C61" s="1131">
        <v>1.1853269819041763E-2</v>
      </c>
      <c r="D61" s="1132">
        <v>1.7145610502599662E-2</v>
      </c>
      <c r="E61" s="1133">
        <v>7.4710342756359712E-3</v>
      </c>
      <c r="F61" s="1130">
        <v>6.1818782605889628E-3</v>
      </c>
      <c r="G61" s="1131">
        <v>8.2573696137224085E-3</v>
      </c>
      <c r="H61" s="1132"/>
      <c r="I61" s="1133">
        <v>1.663004845555556E-2</v>
      </c>
      <c r="J61" s="1130">
        <v>2.8213456661547627E-2</v>
      </c>
      <c r="K61" s="1131">
        <v>1.5566520464578184E-2</v>
      </c>
    </row>
    <row r="69" spans="1:11" ht="40.5" customHeight="1" x14ac:dyDescent="0.25">
      <c r="B69" s="435"/>
      <c r="C69" s="435"/>
      <c r="D69" s="435"/>
      <c r="E69" s="435"/>
      <c r="F69" s="435"/>
      <c r="H69" s="434"/>
    </row>
    <row r="70" spans="1:11" x14ac:dyDescent="0.25">
      <c r="B70" s="435"/>
      <c r="C70" s="435"/>
      <c r="D70" s="435"/>
      <c r="E70" s="435"/>
      <c r="F70" s="435"/>
    </row>
    <row r="71" spans="1:11" x14ac:dyDescent="0.25">
      <c r="B71" s="341"/>
      <c r="C71" s="341"/>
      <c r="D71" s="341"/>
      <c r="E71" s="341"/>
      <c r="F71" s="341"/>
    </row>
    <row r="72" spans="1:11" x14ac:dyDescent="0.25">
      <c r="B72" s="341"/>
      <c r="C72" s="341"/>
      <c r="D72" s="341"/>
      <c r="E72" s="341"/>
      <c r="F72" s="341"/>
    </row>
    <row r="73" spans="1:11" x14ac:dyDescent="0.25">
      <c r="B73" s="341"/>
      <c r="C73" s="341"/>
      <c r="D73" s="341"/>
      <c r="E73" s="341"/>
      <c r="F73" s="341"/>
    </row>
    <row r="74" spans="1:11" x14ac:dyDescent="0.25">
      <c r="A74" s="424"/>
      <c r="B74" s="341"/>
      <c r="C74" s="341"/>
      <c r="D74" s="341"/>
      <c r="E74" s="341"/>
      <c r="F74" s="341"/>
    </row>
    <row r="75" spans="1:11" x14ac:dyDescent="0.25">
      <c r="B75" s="341"/>
      <c r="C75" s="341"/>
      <c r="D75" s="341"/>
      <c r="E75" s="341"/>
      <c r="F75" s="341"/>
    </row>
    <row r="79" spans="1:11" x14ac:dyDescent="0.25">
      <c r="G79" s="435"/>
      <c r="H79" s="341"/>
      <c r="I79" s="435"/>
      <c r="J79" s="435"/>
      <c r="K79" s="435"/>
    </row>
    <row r="80" spans="1:11" x14ac:dyDescent="0.25">
      <c r="G80" s="435"/>
      <c r="H80" s="341"/>
      <c r="I80" s="435"/>
      <c r="J80" s="435"/>
      <c r="K80" s="435"/>
    </row>
    <row r="81" spans="7:11" x14ac:dyDescent="0.25">
      <c r="G81" s="341"/>
      <c r="H81" s="341"/>
      <c r="I81" s="341"/>
      <c r="J81" s="341"/>
      <c r="K81" s="341"/>
    </row>
    <row r="82" spans="7:11" x14ac:dyDescent="0.25">
      <c r="G82" s="341"/>
      <c r="H82" s="341"/>
      <c r="I82" s="341"/>
      <c r="J82" s="341"/>
      <c r="K82" s="341"/>
    </row>
    <row r="83" spans="7:11" x14ac:dyDescent="0.25">
      <c r="G83" s="341"/>
      <c r="H83" s="341"/>
      <c r="I83" s="341"/>
      <c r="J83" s="341"/>
      <c r="K83" s="341"/>
    </row>
    <row r="84" spans="7:11" x14ac:dyDescent="0.25">
      <c r="G84" s="341"/>
      <c r="H84" s="341"/>
      <c r="I84" s="341"/>
      <c r="J84" s="341"/>
      <c r="K84" s="341"/>
    </row>
    <row r="85" spans="7:11" x14ac:dyDescent="0.25">
      <c r="G85" s="341"/>
      <c r="H85" s="341"/>
      <c r="I85" s="341"/>
      <c r="J85" s="341"/>
      <c r="K85" s="341"/>
    </row>
  </sheetData>
  <mergeCells count="28">
    <mergeCell ref="A2:K2"/>
    <mergeCell ref="A52:K52"/>
    <mergeCell ref="A33:A34"/>
    <mergeCell ref="A24:A25"/>
    <mergeCell ref="B24:C24"/>
    <mergeCell ref="D24:E24"/>
    <mergeCell ref="F24:G24"/>
    <mergeCell ref="H24:I24"/>
    <mergeCell ref="J24:K24"/>
    <mergeCell ref="A14:A15"/>
    <mergeCell ref="B14:C14"/>
    <mergeCell ref="D14:E14"/>
    <mergeCell ref="F14:G14"/>
    <mergeCell ref="H14:I14"/>
    <mergeCell ref="J14:K14"/>
    <mergeCell ref="A3:A4"/>
    <mergeCell ref="A54:A55"/>
    <mergeCell ref="M3:X3"/>
    <mergeCell ref="B54:C54"/>
    <mergeCell ref="D54:E54"/>
    <mergeCell ref="F54:G54"/>
    <mergeCell ref="H54:I54"/>
    <mergeCell ref="J54:K54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400D3"/>
  </sheetPr>
  <dimension ref="B4:B56"/>
  <sheetViews>
    <sheetView workbookViewId="0">
      <selection activeCell="B1" sqref="B1"/>
    </sheetView>
  </sheetViews>
  <sheetFormatPr defaultRowHeight="15" x14ac:dyDescent="0.25"/>
  <cols>
    <col min="1" max="1" width="9.140625" style="339"/>
    <col min="2" max="2" width="231.140625" style="339" customWidth="1"/>
    <col min="3" max="16384" width="9.140625" style="339"/>
  </cols>
  <sheetData>
    <row r="4" spans="2:2" ht="31.5" x14ac:dyDescent="0.5">
      <c r="B4" s="508" t="s">
        <v>590</v>
      </c>
    </row>
    <row r="6" spans="2:2" x14ac:dyDescent="0.25">
      <c r="B6" s="509" t="s">
        <v>592</v>
      </c>
    </row>
    <row r="7" spans="2:2" x14ac:dyDescent="0.25">
      <c r="B7" s="509" t="s">
        <v>360</v>
      </c>
    </row>
    <row r="8" spans="2:2" x14ac:dyDescent="0.25">
      <c r="B8" s="509" t="s">
        <v>361</v>
      </c>
    </row>
    <row r="9" spans="2:2" x14ac:dyDescent="0.25">
      <c r="B9" s="509" t="s">
        <v>578</v>
      </c>
    </row>
    <row r="10" spans="2:2" x14ac:dyDescent="0.25">
      <c r="B10" s="509" t="s">
        <v>574</v>
      </c>
    </row>
    <row r="11" spans="2:2" x14ac:dyDescent="0.25">
      <c r="B11" s="509" t="s">
        <v>594</v>
      </c>
    </row>
    <row r="12" spans="2:2" x14ac:dyDescent="0.25">
      <c r="B12" s="509" t="s">
        <v>595</v>
      </c>
    </row>
    <row r="13" spans="2:2" x14ac:dyDescent="0.25">
      <c r="B13" s="509" t="s">
        <v>596</v>
      </c>
    </row>
    <row r="14" spans="2:2" x14ac:dyDescent="0.25">
      <c r="B14" s="509" t="s">
        <v>597</v>
      </c>
    </row>
    <row r="15" spans="2:2" x14ac:dyDescent="0.25">
      <c r="B15" s="509" t="s">
        <v>598</v>
      </c>
    </row>
    <row r="16" spans="2:2" x14ac:dyDescent="0.25">
      <c r="B16" s="509" t="s">
        <v>599</v>
      </c>
    </row>
    <row r="17" spans="2:2" x14ac:dyDescent="0.25">
      <c r="B17" s="509" t="s">
        <v>600</v>
      </c>
    </row>
    <row r="18" spans="2:2" x14ac:dyDescent="0.25">
      <c r="B18" s="509" t="s">
        <v>601</v>
      </c>
    </row>
    <row r="19" spans="2:2" x14ac:dyDescent="0.25">
      <c r="B19" s="509" t="s">
        <v>602</v>
      </c>
    </row>
    <row r="20" spans="2:2" x14ac:dyDescent="0.25">
      <c r="B20" s="509" t="s">
        <v>603</v>
      </c>
    </row>
    <row r="21" spans="2:2" x14ac:dyDescent="0.25">
      <c r="B21" s="509" t="s">
        <v>605</v>
      </c>
    </row>
    <row r="22" spans="2:2" x14ac:dyDescent="0.25">
      <c r="B22" s="509" t="s">
        <v>609</v>
      </c>
    </row>
    <row r="23" spans="2:2" x14ac:dyDescent="0.25">
      <c r="B23" s="509" t="s">
        <v>610</v>
      </c>
    </row>
    <row r="24" spans="2:2" x14ac:dyDescent="0.25">
      <c r="B24" s="509" t="s">
        <v>612</v>
      </c>
    </row>
    <row r="25" spans="2:2" x14ac:dyDescent="0.25">
      <c r="B25" s="509" t="s">
        <v>615</v>
      </c>
    </row>
    <row r="26" spans="2:2" x14ac:dyDescent="0.25">
      <c r="B26" s="509" t="s">
        <v>617</v>
      </c>
    </row>
    <row r="27" spans="2:2" x14ac:dyDescent="0.25">
      <c r="B27" s="509" t="s">
        <v>618</v>
      </c>
    </row>
    <row r="28" spans="2:2" x14ac:dyDescent="0.25">
      <c r="B28" s="509" t="s">
        <v>619</v>
      </c>
    </row>
    <row r="29" spans="2:2" x14ac:dyDescent="0.25">
      <c r="B29" s="509" t="s">
        <v>620</v>
      </c>
    </row>
    <row r="30" spans="2:2" x14ac:dyDescent="0.25">
      <c r="B30" s="509" t="s">
        <v>621</v>
      </c>
    </row>
    <row r="31" spans="2:2" x14ac:dyDescent="0.25">
      <c r="B31" s="509" t="s">
        <v>622</v>
      </c>
    </row>
    <row r="32" spans="2:2" x14ac:dyDescent="0.25">
      <c r="B32" s="509" t="s">
        <v>623</v>
      </c>
    </row>
    <row r="33" spans="2:2" x14ac:dyDescent="0.25">
      <c r="B33" s="509" t="s">
        <v>624</v>
      </c>
    </row>
    <row r="34" spans="2:2" x14ac:dyDescent="0.25">
      <c r="B34" s="509" t="s">
        <v>362</v>
      </c>
    </row>
    <row r="35" spans="2:2" x14ac:dyDescent="0.25">
      <c r="B35" s="509" t="s">
        <v>625</v>
      </c>
    </row>
    <row r="36" spans="2:2" x14ac:dyDescent="0.25">
      <c r="B36" s="509" t="s">
        <v>626</v>
      </c>
    </row>
    <row r="37" spans="2:2" x14ac:dyDescent="0.25">
      <c r="B37" s="509" t="s">
        <v>627</v>
      </c>
    </row>
    <row r="38" spans="2:2" x14ac:dyDescent="0.25">
      <c r="B38" s="509" t="s">
        <v>629</v>
      </c>
    </row>
    <row r="39" spans="2:2" x14ac:dyDescent="0.25">
      <c r="B39" s="509" t="s">
        <v>630</v>
      </c>
    </row>
    <row r="40" spans="2:2" x14ac:dyDescent="0.25">
      <c r="B40" s="509" t="s">
        <v>631</v>
      </c>
    </row>
    <row r="41" spans="2:2" x14ac:dyDescent="0.25">
      <c r="B41" s="509" t="s">
        <v>632</v>
      </c>
    </row>
    <row r="42" spans="2:2" x14ac:dyDescent="0.25">
      <c r="B42" s="509" t="s">
        <v>633</v>
      </c>
    </row>
    <row r="43" spans="2:2" x14ac:dyDescent="0.25">
      <c r="B43" s="509" t="s">
        <v>634</v>
      </c>
    </row>
    <row r="44" spans="2:2" x14ac:dyDescent="0.25">
      <c r="B44" s="509" t="s">
        <v>635</v>
      </c>
    </row>
    <row r="45" spans="2:2" x14ac:dyDescent="0.25">
      <c r="B45" s="509" t="s">
        <v>636</v>
      </c>
    </row>
    <row r="46" spans="2:2" x14ac:dyDescent="0.25">
      <c r="B46" s="509" t="s">
        <v>637</v>
      </c>
    </row>
    <row r="47" spans="2:2" x14ac:dyDescent="0.25">
      <c r="B47" s="509" t="s">
        <v>638</v>
      </c>
    </row>
    <row r="48" spans="2:2" x14ac:dyDescent="0.25">
      <c r="B48" s="509" t="s">
        <v>639</v>
      </c>
    </row>
    <row r="49" spans="2:2" x14ac:dyDescent="0.25">
      <c r="B49" s="509" t="s">
        <v>640</v>
      </c>
    </row>
    <row r="50" spans="2:2" x14ac:dyDescent="0.25">
      <c r="B50" s="509" t="s">
        <v>643</v>
      </c>
    </row>
    <row r="51" spans="2:2" x14ac:dyDescent="0.25">
      <c r="B51" s="509" t="s">
        <v>646</v>
      </c>
    </row>
    <row r="52" spans="2:2" x14ac:dyDescent="0.25">
      <c r="B52" s="509" t="s">
        <v>415</v>
      </c>
    </row>
    <row r="53" spans="2:2" x14ac:dyDescent="0.25">
      <c r="B53" s="509" t="s">
        <v>689</v>
      </c>
    </row>
    <row r="54" spans="2:2" x14ac:dyDescent="0.25">
      <c r="B54" s="509" t="s">
        <v>690</v>
      </c>
    </row>
    <row r="55" spans="2:2" x14ac:dyDescent="0.25">
      <c r="B55" s="509" t="s">
        <v>680</v>
      </c>
    </row>
    <row r="56" spans="2:2" x14ac:dyDescent="0.25">
      <c r="B56" s="509" t="s">
        <v>685</v>
      </c>
    </row>
  </sheetData>
  <hyperlinks>
    <hyperlink ref="B6" location="'Таб А'!C2" display="Табела А. Алокација узорка"/>
    <hyperlink ref="B7" location="'Таб Б'!H2" display="Табела Б. Пример дневника 2021/2022. године"/>
    <hyperlink ref="B8" location="'Таб В'!H1" display="Табела В. Приказ података према основним мерама истраживања, становништво старости 15 и више година, према полу; сви дани, Република Србија, 2021/2022."/>
    <hyperlink ref="B9" location="'Граф А'!K1" display="Графикон А. Просечно време проведено у активностима бриге о детету старости 0 до 6 година, родитељи у пару, према полу; сви дани, Република Србија, 2021/2022."/>
    <hyperlink ref="B10" location="'Граф 1'!F1" display="Графикон 1. Просечно време проведено у активностима, становништво старости 15 и више година, према полу; сви дани, Република Србија, 2021/2022. (у сатима)"/>
    <hyperlink ref="B11" location="'Таб 1'!A1" display="Табела 1. Просечно време проведено у активностима према врсти дана и полу, Република Србија, 2021/2022. (у сатима)"/>
    <hyperlink ref="B12" location="'Таб 2'!A1" display="Табела 2. Учешће становништва у обављању активности, становништво старости 15 и више година, према полу; радни дани, дани викенда и сви дани, Република Србија, 2021/2022. (%)"/>
    <hyperlink ref="B13" location="'Таб 3'!A1" display="Табела 3. Просечно време оних који су обављали активности, становништво старости 15 и више година, према полу; радни дани, дани викенда и сви дани, Република Србија, 2021/2022. (у сатима)"/>
    <hyperlink ref="B14" location="'Граф 2'!I1" display="Графикон 2. Просечно време проведено у активностима, становништво старости 15 година и више, према старости и полу; сви дани, Република Србија, 2021/2022. (у сатима)"/>
    <hyperlink ref="B15" location="'Таб 4'!A1" display="Табела 4. Учешће становништва у обављању активности, становништво старости 15 и више година, према старости и полу; сви дани, Република Србија, 2021/2022. (%)"/>
    <hyperlink ref="B16" location="'Граф 3'!G1" display="Графикон 3. Просечно време проведено у активностима, становништво старости 15 и више година, према типу насеља и полу; сви дани, Република Србија, 2021/2022. (у сатима)"/>
    <hyperlink ref="B17" location="'Таб 5'!A1" display="Табела 5. Учешће становништва у обављању активности, становништво старости 15 и више година, према типу насеља и полу; сви дани, Република Србија, 2021/2022. (%)"/>
    <hyperlink ref="B18" location="'Граф 4'!I11" display="Графикон 4. Просечно време проведено у активностима, становништво старости 15 и више година, према највишем степену образовања и полу; сви дани, Република Србија, 2021/2022. (у сатима)"/>
    <hyperlink ref="B19" location="'Таб 6'!A1" display="Табела 6. Учешће становништва у обављању активности, становништво старости 15 и више година, према највишем степену образовања и полу; сви дани, Република Србија, 2021/2022. (%)"/>
    <hyperlink ref="B20" location="'Граф 5'!H10" display="Графикон 5. Просечно време проведено у активностима, становништво старости 15 и више година, према статусу у запослености по сопственој изјави и полу; сви дани, Република Србија, 2021/2022. (у сатима)"/>
    <hyperlink ref="B21" location="'Таб 7'!A1" display="Табела 7. Учешће становништва у обављању активности, становништво старости 15 и више година, према статусу у запослености по сопственој изјави и полу; сви дани, Република Србија, 2021/2022. (%)"/>
    <hyperlink ref="B22" location="'Граф 6'!M2" display="Графикон 6. Просечно време проведено у активностима, становништво старости 15 и више година, према породичном саставу и полу; сви дани, Република Србија, 2021/2022. (у сатима)"/>
    <hyperlink ref="B23" location="'Темпогр 1'!X2" display="Темпограм 1: Распоред времена проведеног у активностима током дана, становништво старости 15+ година, према полу; сви дани, Република Србија, 2021/2022. (%)"/>
    <hyperlink ref="B24" location="'Граф 7'!J1" display="Графикон 7. Просечно време на плаћеном и неплаћеном послу, становништво старости 15-64 године, према врсти дана и полу, Република Србија, 2021/2022. (у сатима)"/>
    <hyperlink ref="B25" location="'Граф 8'!K8" display="Графикон 8. Укупан посао према дужини плаћеног посла, становништво старости 15 и више година, према полу, радни дани, Република Србија, 2021/2022. (у сатима)"/>
    <hyperlink ref="B26" location="'Граф 9 '!AC1" display="Графикон 9. Укупан и неплаћени посао, становништво старости 15 и више година, према полу; радни дани, Република Србија, 2021/2022. (%)"/>
    <hyperlink ref="B27" location="'Граф 10'!F27" display="Графикон 10. Место где се обавља плаћени посао, становништво старости 15 и више година, према полу; сви дани, Република Србија, 2021/2022. (%)"/>
    <hyperlink ref="B28" location="'Граф 11'!M3" display="Графикон 11. Обављање неплаћеног посл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"/>
    <hyperlink ref="B29" location="'Граф 12'!M3" display="Графикон 12. Узимање оброка и пушење цигарет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"/>
    <hyperlink ref="B30" location="'Граф 13'!M3" display="Графикон 13. Спавање и лична нег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"/>
    <hyperlink ref="B31" location="'Граф 14'!M3" display="Графикон 14. Активности слободног времен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"/>
    <hyperlink ref="B32" location="'Граф 15'!M3" display="Графикон 15. Гледање ТВ-а током 6 сати после завршеног плаћеног посла, становништво старости 20-64 године који су завршили плаћени посао између 15 и 19 h, према полу; радни дани, Република Србија, 2021/2022. (%)"/>
    <hyperlink ref="B33" location="'Граф 16'!F16" display="Графикон 16. 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у сатима)"/>
    <hyperlink ref="B34" location="'Таб 8'!A1" display="Табела 8. Учешће у обављању и просечно време проведено у неплаћеним активностима оних који су их обављали, ниво активности 2, становништво старости 15 и више година, према полу; сви дани, Република Србија, 2021/2022. (% и минути)"/>
    <hyperlink ref="B35" location="'Граф 17'!K1" display="Графикон 17. Просечно време проведено у неплаћеним активностима, становништво старости 15 и више година, према радном статусу по сопственој изјави и полу; сви дани, Република Србија, 2021/2022. (у сатима)"/>
    <hyperlink ref="B36" location="'Граф 18'!H1" display="Графикон 18. Просечно време проведено у неплаће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"/>
    <hyperlink ref="B37" location="'Граф 19 0-6'!E1" display="Графикон 19. Просечно време проведено у активностима бриге о детету, родитељи у пару са најмлађим дететом од 0 до 6 година; сви дани, Република Србија, 2021/2022. (у минутима)"/>
    <hyperlink ref="B38" location="'Граф 20 0-17'!E1" display="Графикон 20. Просечно време проведено у активностима бриге о детету старости 0-17 година, родитељи у пару; сви дани, Република Србија, 2021/2022. (у минутима)"/>
    <hyperlink ref="B39" location="'Граф 21'!H1" display="Графикон 21. Просечно време проведено у узимању оброка, становништво старости 15 и више година, према присуству других лица и полу; радни дани и дани викенда, Република Србија, 2021/2022. (у минутима)"/>
    <hyperlink ref="B40" location="'Граф 22'!G1" display="Графикон 22. Просечно време проведено у узимању оброка, становништво старости 15 и више година, према месту и полу; радни дани и дани викенда, Република Србија, 2021/2022. (у минутима)"/>
    <hyperlink ref="B41" location="'Граф 23'!H1" display="Графикон 23. Пијење кафе, становништво старости 15 и више година, према полу; сви дани, Република Србија, 2021/2022. (%)"/>
    <hyperlink ref="B42" location="'Граф 24'!I1" display="Графикон 24. Просечно време проведено у слободним активностима, становништво старости 15 и више година, према полу; радни дани и дани викенда, Република Србија, 2021/2022. (у сатима)"/>
    <hyperlink ref="B43" location="'Граф 25'!I1" display="Графикон 25. Просечно време проведено у слободним активностима, ниво активности 2, становништво старости 15 и више година, према полу; сви дани, Република Србија, 2021/2022. (у минутима)"/>
    <hyperlink ref="B44" location="'Граф 26'!M1" display="Графикон 26. Просечно време проведено у слободним активностима, ниво активности 1 и 2, становништво старости 15 и више година, према породичном саставу и полу; сви дани, Република Србија, 2021/2022. (у минутима)"/>
    <hyperlink ref="B45" location="'Граф 27'!G1" display="Графикон 27. Просечно време проведено у слободним активностима, ниво активности 2, становништво старости 15 и више година, према статусу у запослености по сопственој изјави и полу; сви дани, Република Србија, 2021/2022. (у минутима)"/>
    <hyperlink ref="B46" location="'Граф 28 пол'!J1" display="Графикон 28. Гледање квиза ТВ Слагалица, становништво старости 15 и више година, према полу; сви дани, Република Србија, 2021/2022. (%)"/>
    <hyperlink ref="B47" location="'Граф 29 старост'!J1" display="Графикон 29. Гледање Слагалице, становништво старости 15 и више година, према полу и старости; сви дани, Република Србија, 2021/2022. (%)"/>
    <hyperlink ref="B48" location="'Граф 30'!N1" display="Графикон 30. Стрес међу становништвом старости 15 и више година, према породичном саставу и полу; сви дани, Република Србија, 2021/2022. (%)"/>
    <hyperlink ref="B49" location="'Граф 31'!G1" display="Графикон 31. Стрес пре и после пандемије, становништво старости 15 и више година, према полу; сви дани, Република Србија, 2021/2022. (%)"/>
    <hyperlink ref="B50" location="'Граф 32'!V14" display="Графикон 32. Бити сам или са неким током активности, становништво старости 15 и више година, према старости и полу; сви дани, Република Србија, 2021/2022. (%)"/>
    <hyperlink ref="B51" location="'Граф 33'!K2" display="Графикон 33. Учешће становништва према времену које је проведено са партнером или са дететом, становништво старости 15 и више година, према старости и полу; сви дани, Република Србија, 2021/2022. (%)"/>
    <hyperlink ref="B52" location="'Таб 9'!A1" display="Табела 9. Просечно време проведено у активностима, становништво старости 15 и више година, према полу; сви дани, Република Србија, 2010/2011. и 2021/2022. (у сатима)"/>
    <hyperlink ref="B53" location="'Таб П.1.'!A1" display="Табела П.1. Просечно време проведено у активностима, становништво старости 15 и више година, према полу; радни дани, дани викенда и сви дани, Република Србија, 2021/2022. (У сатима)"/>
    <hyperlink ref="B54" location="'Таб П.2.'!A1" display="Табела П.2. Учешће становништва у обављању активности, становништво старости 15 и више година, према полу; радни дани, дани викенда и сви дани, Република Србија, 2021/2022. (У процентима)"/>
    <hyperlink ref="B55" location="'Таб П.3.'!A1" display="Табела П.3. Просечно време оних који су обављали активности, становништво старости 15 и више година, према полу; радни дани, дани викенда и сви дани, Република Србија, 2021/2022. (у сатима)"/>
    <hyperlink ref="B56" location="Публикације!I2" display="Публикације објављене у оквиру исте едиције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V468"/>
  <sheetViews>
    <sheetView topLeftCell="J1" zoomScale="110" zoomScaleNormal="110" workbookViewId="0">
      <selection activeCell="X2" sqref="X2"/>
    </sheetView>
  </sheetViews>
  <sheetFormatPr defaultRowHeight="15" x14ac:dyDescent="0.25"/>
  <cols>
    <col min="1" max="1" width="7.140625" customWidth="1"/>
    <col min="2" max="2" width="10.7109375" customWidth="1"/>
    <col min="3" max="3" width="10.85546875" customWidth="1"/>
    <col min="4" max="5" width="10.7109375" customWidth="1"/>
    <col min="6" max="6" width="10.85546875" customWidth="1"/>
    <col min="7" max="8" width="10.7109375" customWidth="1"/>
    <col min="9" max="9" width="7.140625" style="48" customWidth="1"/>
  </cols>
  <sheetData>
    <row r="1" spans="1:22" ht="17.25" customHeight="1" x14ac:dyDescent="0.25">
      <c r="A1" s="1356"/>
      <c r="B1" s="1357"/>
      <c r="C1" s="1357"/>
      <c r="D1" s="1357"/>
      <c r="E1" s="1357"/>
      <c r="F1" s="1357"/>
      <c r="G1" s="1357"/>
      <c r="H1" s="1358"/>
    </row>
    <row r="2" spans="1:22" s="329" customFormat="1" ht="42.75" customHeight="1" x14ac:dyDescent="0.25">
      <c r="A2" s="1367" t="s">
        <v>699</v>
      </c>
      <c r="B2" s="1367"/>
      <c r="C2" s="1367"/>
      <c r="D2" s="1367"/>
      <c r="E2" s="1367"/>
      <c r="F2" s="1367"/>
      <c r="G2" s="1367"/>
      <c r="H2" s="1367"/>
      <c r="K2" s="1355" t="s">
        <v>489</v>
      </c>
      <c r="L2" s="1355"/>
      <c r="M2" s="1355"/>
      <c r="N2" s="1355"/>
      <c r="O2" s="1355"/>
      <c r="P2" s="1355"/>
      <c r="Q2" s="1355"/>
      <c r="R2" s="1355"/>
      <c r="S2" s="1355"/>
      <c r="T2" s="1355"/>
      <c r="U2" s="1355"/>
      <c r="V2" s="1355"/>
    </row>
    <row r="3" spans="1:22" ht="15.95" customHeight="1" x14ac:dyDescent="0.25">
      <c r="A3" s="1359"/>
      <c r="B3" s="34"/>
      <c r="C3" s="35"/>
      <c r="D3" s="35"/>
      <c r="F3" s="35"/>
      <c r="G3" s="35"/>
      <c r="H3" s="36"/>
      <c r="I3" s="1353"/>
    </row>
    <row r="4" spans="1:22" ht="30" customHeight="1" x14ac:dyDescent="0.25">
      <c r="A4" s="1360"/>
      <c r="B4" s="293" t="s">
        <v>113</v>
      </c>
      <c r="C4" s="293" t="s">
        <v>114</v>
      </c>
      <c r="D4" s="294" t="s">
        <v>409</v>
      </c>
      <c r="E4" s="294" t="s">
        <v>410</v>
      </c>
      <c r="F4" s="294" t="s">
        <v>117</v>
      </c>
      <c r="G4" s="294" t="s">
        <v>411</v>
      </c>
      <c r="H4" s="295" t="s">
        <v>118</v>
      </c>
      <c r="I4" s="1354"/>
    </row>
    <row r="5" spans="1:22" ht="17.100000000000001" customHeight="1" x14ac:dyDescent="0.25">
      <c r="A5" s="37" t="s">
        <v>0</v>
      </c>
      <c r="B5" s="296">
        <v>8.9929480155262025E-3</v>
      </c>
      <c r="C5" s="297">
        <v>1.4284287863763035E-3</v>
      </c>
      <c r="D5" s="297">
        <v>5.8568459470853887E-4</v>
      </c>
      <c r="E5" s="297">
        <v>0.98632613816312387</v>
      </c>
      <c r="F5" s="297">
        <v>1.7510696228964051E-3</v>
      </c>
      <c r="G5" s="297">
        <v>6.4946625039446885E-4</v>
      </c>
      <c r="H5" s="298">
        <v>2.6626456697415187E-4</v>
      </c>
      <c r="I5" s="51" t="s">
        <v>0</v>
      </c>
    </row>
    <row r="6" spans="1:22" ht="17.100000000000001" customHeight="1" x14ac:dyDescent="0.25">
      <c r="A6" s="38"/>
      <c r="B6" s="299">
        <v>1.1177944660239801E-2</v>
      </c>
      <c r="C6" s="300">
        <v>2.035324545316177E-3</v>
      </c>
      <c r="D6" s="300">
        <v>1.4834039232584828E-3</v>
      </c>
      <c r="E6" s="300">
        <v>0.98359091417887068</v>
      </c>
      <c r="F6" s="300">
        <v>1.1681942626455752E-3</v>
      </c>
      <c r="G6" s="300">
        <v>2.7795386269480763E-4</v>
      </c>
      <c r="H6" s="301">
        <v>2.6626456697415187E-4</v>
      </c>
      <c r="I6" s="53" t="s">
        <v>14</v>
      </c>
    </row>
    <row r="7" spans="1:22" ht="17.100000000000001" customHeight="1" x14ac:dyDescent="0.25">
      <c r="A7" s="38"/>
      <c r="B7" s="299">
        <v>2.0134355159145481E-2</v>
      </c>
      <c r="C7" s="300">
        <v>7.0309228925437258E-3</v>
      </c>
      <c r="D7" s="300">
        <v>4.4269886938172725E-3</v>
      </c>
      <c r="E7" s="300">
        <v>0.96546258267273943</v>
      </c>
      <c r="F7" s="300">
        <v>2.6435828493838187E-3</v>
      </c>
      <c r="G7" s="300">
        <v>3.0156773237043208E-4</v>
      </c>
      <c r="H7" s="301">
        <v>0</v>
      </c>
      <c r="I7" s="52" t="s">
        <v>15</v>
      </c>
    </row>
    <row r="8" spans="1:22" ht="17.100000000000001" customHeight="1" x14ac:dyDescent="0.25">
      <c r="A8" s="38"/>
      <c r="B8" s="299">
        <v>4.2546629883944441E-2</v>
      </c>
      <c r="C8" s="300">
        <v>1.2114038816341925E-2</v>
      </c>
      <c r="D8" s="300">
        <v>1.3406638369970265E-2</v>
      </c>
      <c r="E8" s="300">
        <v>0.92525818045737263</v>
      </c>
      <c r="F8" s="300">
        <v>5.4706624013024204E-3</v>
      </c>
      <c r="G8" s="300">
        <v>9.6796941183410474E-4</v>
      </c>
      <c r="H8" s="301">
        <v>2.3588065923450626E-4</v>
      </c>
      <c r="I8" s="49" t="s">
        <v>16</v>
      </c>
    </row>
    <row r="9" spans="1:22" ht="17.100000000000001" customHeight="1" x14ac:dyDescent="0.25">
      <c r="A9" s="38"/>
      <c r="B9" s="299">
        <v>7.5480004928049169E-2</v>
      </c>
      <c r="C9" s="300">
        <v>2.3075362087319945E-2</v>
      </c>
      <c r="D9" s="300">
        <v>1.6135674098382666E-2</v>
      </c>
      <c r="E9" s="300">
        <v>0.87477928032055374</v>
      </c>
      <c r="F9" s="300">
        <v>6.008777109890345E-3</v>
      </c>
      <c r="G9" s="300">
        <v>3.3257677903312573E-3</v>
      </c>
      <c r="H9" s="301">
        <v>1.1951336654764328E-3</v>
      </c>
      <c r="I9" s="49" t="s">
        <v>17</v>
      </c>
    </row>
    <row r="10" spans="1:22" ht="17.100000000000001" customHeight="1" x14ac:dyDescent="0.25">
      <c r="A10" s="38"/>
      <c r="B10" s="299">
        <v>0.12739851738618649</v>
      </c>
      <c r="C10" s="300">
        <v>4.1945674595012437E-2</v>
      </c>
      <c r="D10" s="300">
        <v>4.9503152269531059E-2</v>
      </c>
      <c r="E10" s="300">
        <v>0.76803367518210441</v>
      </c>
      <c r="F10" s="300">
        <v>7.5168994234913059E-3</v>
      </c>
      <c r="G10" s="300">
        <v>4.5616298880368621E-3</v>
      </c>
      <c r="H10" s="301">
        <v>1.0404512556398853E-3</v>
      </c>
      <c r="I10" s="49" t="s">
        <v>18</v>
      </c>
    </row>
    <row r="11" spans="1:22" ht="17.100000000000001" customHeight="1" x14ac:dyDescent="0.25">
      <c r="A11" s="38"/>
      <c r="B11" s="299">
        <v>0.18778303634450086</v>
      </c>
      <c r="C11" s="300">
        <v>8.1724780996606738E-2</v>
      </c>
      <c r="D11" s="300">
        <v>6.4410235384277634E-2</v>
      </c>
      <c r="E11" s="300">
        <v>0.64069325173472214</v>
      </c>
      <c r="F11" s="300">
        <v>1.2000344186872172E-2</v>
      </c>
      <c r="G11" s="300">
        <v>1.1370709466429813E-2</v>
      </c>
      <c r="H11" s="301">
        <v>2.0176418865897987E-3</v>
      </c>
      <c r="I11" s="49" t="s">
        <v>19</v>
      </c>
    </row>
    <row r="12" spans="1:22" ht="17.100000000000001" customHeight="1" x14ac:dyDescent="0.25">
      <c r="A12" s="38"/>
      <c r="B12" s="299">
        <v>0.23399759253385333</v>
      </c>
      <c r="C12" s="300">
        <v>0.13316581946611383</v>
      </c>
      <c r="D12" s="300">
        <v>0.13436874692623824</v>
      </c>
      <c r="E12" s="300">
        <v>0.45773368788260704</v>
      </c>
      <c r="F12" s="300">
        <v>2.3248750631369774E-2</v>
      </c>
      <c r="G12" s="300">
        <v>1.5364166122177125E-2</v>
      </c>
      <c r="H12" s="301">
        <v>2.1212364376419959E-3</v>
      </c>
      <c r="I12" s="49" t="s">
        <v>20</v>
      </c>
    </row>
    <row r="13" spans="1:22" ht="17.100000000000001" customHeight="1" x14ac:dyDescent="0.25">
      <c r="A13" s="38" t="s">
        <v>1</v>
      </c>
      <c r="B13" s="299">
        <v>0.27943505601043422</v>
      </c>
      <c r="C13" s="300">
        <v>0.17862918528078339</v>
      </c>
      <c r="D13" s="300">
        <v>0.1449769761730765</v>
      </c>
      <c r="E13" s="300">
        <v>0.33876472166545313</v>
      </c>
      <c r="F13" s="300">
        <v>3.2753110464032578E-2</v>
      </c>
      <c r="G13" s="300">
        <v>2.0892808489542985E-2</v>
      </c>
      <c r="H13" s="301">
        <v>4.5481419166831872E-3</v>
      </c>
      <c r="I13" s="49" t="s">
        <v>1</v>
      </c>
    </row>
    <row r="14" spans="1:22" ht="17.100000000000001" customHeight="1" x14ac:dyDescent="0.25">
      <c r="A14" s="38"/>
      <c r="B14" s="299">
        <v>0.30010510339048002</v>
      </c>
      <c r="C14" s="300">
        <v>0.2147504036102762</v>
      </c>
      <c r="D14" s="300">
        <v>0.17598200295998029</v>
      </c>
      <c r="E14" s="300">
        <v>0.22903247745109623</v>
      </c>
      <c r="F14" s="300">
        <v>4.9012486208586135E-2</v>
      </c>
      <c r="G14" s="300">
        <v>2.774901273750564E-2</v>
      </c>
      <c r="H14" s="301">
        <v>3.3685136420821839E-3</v>
      </c>
      <c r="I14" s="49" t="s">
        <v>21</v>
      </c>
    </row>
    <row r="15" spans="1:22" ht="17.100000000000001" customHeight="1" x14ac:dyDescent="0.25">
      <c r="A15" s="38"/>
      <c r="B15" s="299">
        <v>0.29086488915610503</v>
      </c>
      <c r="C15" s="300">
        <v>0.23633702669621814</v>
      </c>
      <c r="D15" s="300">
        <v>0.19474060090316864</v>
      </c>
      <c r="E15" s="300">
        <v>0.17873270242052988</v>
      </c>
      <c r="F15" s="300">
        <v>6.0929012587952538E-2</v>
      </c>
      <c r="G15" s="300">
        <v>3.3120361832012342E-2</v>
      </c>
      <c r="H15" s="301">
        <v>5.2754064040202667E-3</v>
      </c>
      <c r="I15" s="49" t="s">
        <v>22</v>
      </c>
    </row>
    <row r="16" spans="1:22" ht="17.100000000000001" customHeight="1" x14ac:dyDescent="0.25">
      <c r="A16" s="38"/>
      <c r="B16" s="299">
        <v>0.3119931396006882</v>
      </c>
      <c r="C16" s="300">
        <v>0.2540995065387564</v>
      </c>
      <c r="D16" s="300">
        <v>0.17529209045763972</v>
      </c>
      <c r="E16" s="300">
        <v>0.12398790797457168</v>
      </c>
      <c r="F16" s="300">
        <v>8.9541461575981252E-2</v>
      </c>
      <c r="G16" s="300">
        <v>4.0669028883614004E-2</v>
      </c>
      <c r="H16" s="301">
        <v>4.4168649687554417E-3</v>
      </c>
      <c r="I16" s="49" t="s">
        <v>23</v>
      </c>
    </row>
    <row r="17" spans="1:9" ht="17.100000000000001" customHeight="1" x14ac:dyDescent="0.25">
      <c r="A17" s="38"/>
      <c r="B17" s="299">
        <v>0.26065732979766593</v>
      </c>
      <c r="C17" s="300">
        <v>0.29842800973076772</v>
      </c>
      <c r="D17" s="300">
        <v>0.18688827905061664</v>
      </c>
      <c r="E17" s="300">
        <v>9.221263922074209E-2</v>
      </c>
      <c r="F17" s="300">
        <v>0.11750973585319265</v>
      </c>
      <c r="G17" s="300">
        <v>3.7056293528869085E-2</v>
      </c>
      <c r="H17" s="301">
        <v>7.2477128181518413E-3</v>
      </c>
      <c r="I17" s="49" t="s">
        <v>24</v>
      </c>
    </row>
    <row r="18" spans="1:9" ht="17.100000000000001" customHeight="1" x14ac:dyDescent="0.25">
      <c r="A18" s="38"/>
      <c r="B18" s="299">
        <v>0.31801583236050796</v>
      </c>
      <c r="C18" s="300">
        <v>0.30040437873256848</v>
      </c>
      <c r="D18" s="300">
        <v>0.13072212587729437</v>
      </c>
      <c r="E18" s="300">
        <v>5.4886419724121754E-2</v>
      </c>
      <c r="F18" s="300">
        <v>0.14567607751380857</v>
      </c>
      <c r="G18" s="300">
        <v>4.4715111497133454E-2</v>
      </c>
      <c r="H18" s="301">
        <v>5.5800542945713301E-3</v>
      </c>
      <c r="I18" s="49" t="s">
        <v>25</v>
      </c>
    </row>
    <row r="19" spans="1:9" ht="17.100000000000001" customHeight="1" x14ac:dyDescent="0.25">
      <c r="A19" s="38"/>
      <c r="B19" s="299">
        <v>0.32637596496822324</v>
      </c>
      <c r="C19" s="300">
        <v>0.29632841495648621</v>
      </c>
      <c r="D19" s="300">
        <v>9.7638035542553875E-2</v>
      </c>
      <c r="E19" s="300">
        <v>4.5137413208267557E-2</v>
      </c>
      <c r="F19" s="300">
        <v>0.17725670561572593</v>
      </c>
      <c r="G19" s="300">
        <v>5.0150857775286412E-2</v>
      </c>
      <c r="H19" s="301">
        <v>7.1126079334631357E-3</v>
      </c>
      <c r="I19" s="49" t="s">
        <v>27</v>
      </c>
    </row>
    <row r="20" spans="1:9" ht="17.100000000000001" customHeight="1" x14ac:dyDescent="0.25">
      <c r="A20" s="38"/>
      <c r="B20" s="299">
        <v>0.35021364041816627</v>
      </c>
      <c r="C20" s="300">
        <v>0.29781997579376668</v>
      </c>
      <c r="D20" s="300">
        <v>6.9672359019023827E-2</v>
      </c>
      <c r="E20" s="300">
        <v>3.4007396047681354E-2</v>
      </c>
      <c r="F20" s="300">
        <v>0.18920756542413886</v>
      </c>
      <c r="G20" s="300">
        <v>5.3789640350667092E-2</v>
      </c>
      <c r="H20" s="301">
        <v>5.2894229465629446E-3</v>
      </c>
      <c r="I20" s="49" t="s">
        <v>26</v>
      </c>
    </row>
    <row r="21" spans="1:9" ht="17.100000000000001" customHeight="1" x14ac:dyDescent="0.25">
      <c r="A21" s="38" t="s">
        <v>2</v>
      </c>
      <c r="B21" s="299">
        <v>0.34599358964836052</v>
      </c>
      <c r="C21" s="300">
        <v>0.27775285678826067</v>
      </c>
      <c r="D21" s="300">
        <v>8.7997815618542627E-2</v>
      </c>
      <c r="E21" s="300">
        <v>3.0871683594405827E-2</v>
      </c>
      <c r="F21" s="300">
        <v>0.19684436137020014</v>
      </c>
      <c r="G21" s="300">
        <v>5.6094048713248565E-2</v>
      </c>
      <c r="H21" s="301">
        <v>4.4456442669884811E-3</v>
      </c>
      <c r="I21" s="49" t="s">
        <v>2</v>
      </c>
    </row>
    <row r="22" spans="1:9" ht="17.100000000000001" customHeight="1" x14ac:dyDescent="0.25">
      <c r="A22" s="38"/>
      <c r="B22" s="299">
        <v>0.36339248468251012</v>
      </c>
      <c r="C22" s="300">
        <v>0.27041271796541205</v>
      </c>
      <c r="D22" s="300">
        <v>7.0348994820295427E-2</v>
      </c>
      <c r="E22" s="300">
        <v>2.8778420138635203E-2</v>
      </c>
      <c r="F22" s="300">
        <v>0.20324331699563727</v>
      </c>
      <c r="G22" s="300">
        <v>6.0217151011647839E-2</v>
      </c>
      <c r="H22" s="301">
        <v>3.6069143858684068E-3</v>
      </c>
      <c r="I22" s="49" t="s">
        <v>28</v>
      </c>
    </row>
    <row r="23" spans="1:9" ht="17.100000000000001" customHeight="1" x14ac:dyDescent="0.25">
      <c r="A23" s="38"/>
      <c r="B23" s="299">
        <v>0.33186913735293422</v>
      </c>
      <c r="C23" s="300">
        <v>0.2443111186657104</v>
      </c>
      <c r="D23" s="300">
        <v>0.13125047498492881</v>
      </c>
      <c r="E23" s="300">
        <v>4.0348646146291897E-2</v>
      </c>
      <c r="F23" s="300">
        <v>0.20400840246735005</v>
      </c>
      <c r="G23" s="300">
        <v>4.5262976256174009E-2</v>
      </c>
      <c r="H23" s="301">
        <v>2.9492441266169432E-3</v>
      </c>
      <c r="I23" s="49" t="s">
        <v>29</v>
      </c>
    </row>
    <row r="24" spans="1:9" ht="17.100000000000001" customHeight="1" x14ac:dyDescent="0.25">
      <c r="A24" s="38"/>
      <c r="B24" s="299">
        <v>0.34426464778564492</v>
      </c>
      <c r="C24" s="300">
        <v>0.24523963916718869</v>
      </c>
      <c r="D24" s="300">
        <v>0.10425930265500971</v>
      </c>
      <c r="E24" s="300">
        <v>3.4356504798493351E-2</v>
      </c>
      <c r="F24" s="300">
        <v>0.21847305035753239</v>
      </c>
      <c r="G24" s="300">
        <v>5.0420269464036833E-2</v>
      </c>
      <c r="H24" s="301">
        <v>2.9865857721006251E-3</v>
      </c>
      <c r="I24" s="49" t="s">
        <v>30</v>
      </c>
    </row>
    <row r="25" spans="1:9" ht="17.100000000000001" customHeight="1" x14ac:dyDescent="0.25">
      <c r="A25" s="38"/>
      <c r="B25" s="299">
        <v>0.32834620630684058</v>
      </c>
      <c r="C25" s="300">
        <v>0.21217348446107603</v>
      </c>
      <c r="D25" s="300">
        <v>0.15993359141137414</v>
      </c>
      <c r="E25" s="300">
        <v>3.7931242354046144E-2</v>
      </c>
      <c r="F25" s="300">
        <v>0.21208035113935131</v>
      </c>
      <c r="G25" s="300">
        <v>4.5897140772242363E-2</v>
      </c>
      <c r="H25" s="301">
        <v>3.6379835550762272E-3</v>
      </c>
      <c r="I25" s="49" t="s">
        <v>31</v>
      </c>
    </row>
    <row r="26" spans="1:9" ht="17.100000000000001" customHeight="1" x14ac:dyDescent="0.25">
      <c r="A26" s="38"/>
      <c r="B26" s="299">
        <v>0.312380209310122</v>
      </c>
      <c r="C26" s="300">
        <v>0.20793519295688739</v>
      </c>
      <c r="D26" s="300">
        <v>0.16402935381641984</v>
      </c>
      <c r="E26" s="300">
        <v>4.054834597535692E-2</v>
      </c>
      <c r="F26" s="300">
        <v>0.22052023244494146</v>
      </c>
      <c r="G26" s="300">
        <v>5.1058001738187551E-2</v>
      </c>
      <c r="H26" s="301">
        <v>3.5286637580920462E-3</v>
      </c>
      <c r="I26" s="49" t="s">
        <v>32</v>
      </c>
    </row>
    <row r="27" spans="1:9" ht="17.100000000000001" customHeight="1" x14ac:dyDescent="0.25">
      <c r="A27" s="38"/>
      <c r="B27" s="299">
        <v>0.28517174522310124</v>
      </c>
      <c r="C27" s="300">
        <v>0.18296450298251635</v>
      </c>
      <c r="D27" s="300">
        <v>0.1824503978563804</v>
      </c>
      <c r="E27" s="300">
        <v>4.7605475081517315E-2</v>
      </c>
      <c r="F27" s="300">
        <v>0.24099110799097828</v>
      </c>
      <c r="G27" s="300">
        <v>5.8997540693448404E-2</v>
      </c>
      <c r="H27" s="301">
        <v>1.8192301720643558E-3</v>
      </c>
      <c r="I27" s="49" t="s">
        <v>33</v>
      </c>
    </row>
    <row r="28" spans="1:9" ht="17.100000000000001" customHeight="1" x14ac:dyDescent="0.25">
      <c r="A28" s="38"/>
      <c r="B28" s="299">
        <v>0.22993137972660185</v>
      </c>
      <c r="C28" s="300">
        <v>0.18576507373446929</v>
      </c>
      <c r="D28" s="300">
        <v>0.18221462145524947</v>
      </c>
      <c r="E28" s="300">
        <v>5.3702693894954259E-2</v>
      </c>
      <c r="F28" s="300">
        <v>0.27648060372261363</v>
      </c>
      <c r="G28" s="300">
        <v>6.9296794635553979E-2</v>
      </c>
      <c r="H28" s="301">
        <v>2.6088328305641229E-3</v>
      </c>
      <c r="I28" s="49" t="s">
        <v>34</v>
      </c>
    </row>
    <row r="29" spans="1:9" ht="17.100000000000001" customHeight="1" x14ac:dyDescent="0.25">
      <c r="A29" s="38" t="s">
        <v>3</v>
      </c>
      <c r="B29" s="299">
        <v>0.20012597571718641</v>
      </c>
      <c r="C29" s="300">
        <v>0.20264302952220717</v>
      </c>
      <c r="D29" s="300">
        <v>0.14380427133741161</v>
      </c>
      <c r="E29" s="300">
        <v>6.3235549095208565E-2</v>
      </c>
      <c r="F29" s="300">
        <v>0.29849709827074572</v>
      </c>
      <c r="G29" s="300">
        <v>8.8618466176374394E-2</v>
      </c>
      <c r="H29" s="301">
        <v>3.0756098808726495E-3</v>
      </c>
      <c r="I29" s="49" t="s">
        <v>3</v>
      </c>
    </row>
    <row r="30" spans="1:9" ht="17.100000000000001" customHeight="1" x14ac:dyDescent="0.25">
      <c r="A30" s="38"/>
      <c r="B30" s="299">
        <v>0.17062942074291754</v>
      </c>
      <c r="C30" s="300">
        <v>0.19571968948029642</v>
      </c>
      <c r="D30" s="300">
        <v>0.14905643645098918</v>
      </c>
      <c r="E30" s="300">
        <v>6.5965427341177024E-2</v>
      </c>
      <c r="F30" s="300">
        <v>0.31620457260173401</v>
      </c>
      <c r="G30" s="300">
        <v>9.9205288002630065E-2</v>
      </c>
      <c r="H30" s="301">
        <v>3.2191653802608731E-3</v>
      </c>
      <c r="I30" s="49" t="s">
        <v>35</v>
      </c>
    </row>
    <row r="31" spans="1:9" ht="17.100000000000001" customHeight="1" x14ac:dyDescent="0.25">
      <c r="A31" s="38"/>
      <c r="B31" s="299">
        <v>0.15026557150536243</v>
      </c>
      <c r="C31" s="300">
        <v>0.20700720345663853</v>
      </c>
      <c r="D31" s="300">
        <v>0.14299049811858028</v>
      </c>
      <c r="E31" s="300">
        <v>5.9838710599783511E-2</v>
      </c>
      <c r="F31" s="300">
        <v>0.33420205488134624</v>
      </c>
      <c r="G31" s="300">
        <v>0.1020783129479062</v>
      </c>
      <c r="H31" s="301">
        <v>3.6176484903885061E-3</v>
      </c>
      <c r="I31" s="49" t="s">
        <v>36</v>
      </c>
    </row>
    <row r="32" spans="1:9" ht="17.100000000000001" customHeight="1" x14ac:dyDescent="0.25">
      <c r="A32" s="38"/>
      <c r="B32" s="299">
        <v>0.13669504337208446</v>
      </c>
      <c r="C32" s="300">
        <v>0.20099544265575056</v>
      </c>
      <c r="D32" s="300">
        <v>0.12754916443353262</v>
      </c>
      <c r="E32" s="300">
        <v>5.453413338566078E-2</v>
      </c>
      <c r="F32" s="300">
        <v>0.35483752003037305</v>
      </c>
      <c r="G32" s="300">
        <v>0.12202667236538071</v>
      </c>
      <c r="H32" s="301">
        <v>3.362023757223183E-3</v>
      </c>
      <c r="I32" s="49" t="s">
        <v>37</v>
      </c>
    </row>
    <row r="33" spans="1:9" ht="17.100000000000001" customHeight="1" x14ac:dyDescent="0.25">
      <c r="A33" s="38"/>
      <c r="B33" s="299">
        <v>0.11146490292577421</v>
      </c>
      <c r="C33" s="300">
        <v>0.22440524464077985</v>
      </c>
      <c r="D33" s="300">
        <v>0.1230606038139285</v>
      </c>
      <c r="E33" s="300">
        <v>4.4235976640734351E-2</v>
      </c>
      <c r="F33" s="300">
        <v>0.35000330717778022</v>
      </c>
      <c r="G33" s="300">
        <v>0.14279527158215427</v>
      </c>
      <c r="H33" s="301">
        <v>4.034693218854103E-3</v>
      </c>
      <c r="I33" s="49" t="s">
        <v>38</v>
      </c>
    </row>
    <row r="34" spans="1:9" ht="17.100000000000001" customHeight="1" x14ac:dyDescent="0.25">
      <c r="A34" s="38"/>
      <c r="B34" s="299">
        <v>0.10608003261878775</v>
      </c>
      <c r="C34" s="300">
        <v>0.21318269869063586</v>
      </c>
      <c r="D34" s="300">
        <v>0.11872099793040118</v>
      </c>
      <c r="E34" s="300">
        <v>4.5538191262342445E-2</v>
      </c>
      <c r="F34" s="300">
        <v>0.34778034630252014</v>
      </c>
      <c r="G34" s="300">
        <v>0.16466273575893681</v>
      </c>
      <c r="H34" s="301">
        <v>4.0349974363812421E-3</v>
      </c>
      <c r="I34" s="49" t="s">
        <v>39</v>
      </c>
    </row>
    <row r="35" spans="1:9" ht="17.100000000000001" customHeight="1" x14ac:dyDescent="0.25">
      <c r="A35" s="38"/>
      <c r="B35" s="299">
        <v>7.9031619638611009E-2</v>
      </c>
      <c r="C35" s="300">
        <v>0.1855136674876017</v>
      </c>
      <c r="D35" s="300">
        <v>0.15431340960230733</v>
      </c>
      <c r="E35" s="300">
        <v>4.9587795118643016E-2</v>
      </c>
      <c r="F35" s="300">
        <v>0.25915021759412843</v>
      </c>
      <c r="G35" s="300">
        <v>0.26842690285227894</v>
      </c>
      <c r="H35" s="301">
        <v>3.976387706435932E-3</v>
      </c>
      <c r="I35" s="49" t="s">
        <v>40</v>
      </c>
    </row>
    <row r="36" spans="1:9" ht="17.100000000000001" customHeight="1" x14ac:dyDescent="0.25">
      <c r="A36" s="38"/>
      <c r="B36" s="299">
        <v>6.9621710156442515E-2</v>
      </c>
      <c r="C36" s="300">
        <v>0.17144799656720444</v>
      </c>
      <c r="D36" s="300">
        <v>0.15343081751731599</v>
      </c>
      <c r="E36" s="300">
        <v>4.763340369675155E-2</v>
      </c>
      <c r="F36" s="300">
        <v>0.24750303987210531</v>
      </c>
      <c r="G36" s="300">
        <v>0.30675426399663475</v>
      </c>
      <c r="H36" s="301">
        <v>3.608768193550898E-3</v>
      </c>
      <c r="I36" s="49" t="s">
        <v>41</v>
      </c>
    </row>
    <row r="37" spans="1:9" ht="17.100000000000001" customHeight="1" x14ac:dyDescent="0.25">
      <c r="A37" s="38" t="s">
        <v>4</v>
      </c>
      <c r="B37" s="299">
        <v>5.745859931932111E-2</v>
      </c>
      <c r="C37" s="300">
        <v>0.13422887906449571</v>
      </c>
      <c r="D37" s="300">
        <v>0.17764487231143467</v>
      </c>
      <c r="E37" s="300">
        <v>5.1550104085218713E-2</v>
      </c>
      <c r="F37" s="300">
        <v>0.2192445429404557</v>
      </c>
      <c r="G37" s="300">
        <v>0.35571472418160083</v>
      </c>
      <c r="H37" s="301">
        <v>4.1582780974777217E-3</v>
      </c>
      <c r="I37" s="49" t="s">
        <v>4</v>
      </c>
    </row>
    <row r="38" spans="1:9" ht="17.100000000000001" customHeight="1" x14ac:dyDescent="0.25">
      <c r="A38" s="38"/>
      <c r="B38" s="299">
        <v>5.2890097684151136E-2</v>
      </c>
      <c r="C38" s="300">
        <v>0.11537492703451482</v>
      </c>
      <c r="D38" s="300">
        <v>0.11448290665836787</v>
      </c>
      <c r="E38" s="300">
        <v>5.5171504913785821E-2</v>
      </c>
      <c r="F38" s="300">
        <v>0.22009376868421857</v>
      </c>
      <c r="G38" s="300">
        <v>0.43652175584277642</v>
      </c>
      <c r="H38" s="301">
        <v>5.4650391821855189E-3</v>
      </c>
      <c r="I38" s="49" t="s">
        <v>43</v>
      </c>
    </row>
    <row r="39" spans="1:9" ht="17.100000000000001" customHeight="1" x14ac:dyDescent="0.25">
      <c r="A39" s="38"/>
      <c r="B39" s="299">
        <v>4.5977704346684974E-2</v>
      </c>
      <c r="C39" s="300">
        <v>8.6218802795757638E-2</v>
      </c>
      <c r="D39" s="300">
        <v>6.8905877605875951E-2</v>
      </c>
      <c r="E39" s="300">
        <v>0.12024578414194224</v>
      </c>
      <c r="F39" s="300">
        <v>0.19450816234477528</v>
      </c>
      <c r="G39" s="300">
        <v>0.478121635440032</v>
      </c>
      <c r="H39" s="301">
        <v>6.0220333249323028E-3</v>
      </c>
      <c r="I39" s="49" t="s">
        <v>42</v>
      </c>
    </row>
    <row r="40" spans="1:9" ht="17.100000000000001" customHeight="1" x14ac:dyDescent="0.25">
      <c r="A40" s="38"/>
      <c r="B40" s="299">
        <v>4.5894304871265487E-2</v>
      </c>
      <c r="C40" s="300">
        <v>6.337534234197878E-2</v>
      </c>
      <c r="D40" s="300">
        <v>3.7669496958350569E-2</v>
      </c>
      <c r="E40" s="300">
        <v>0.15190417188217234</v>
      </c>
      <c r="F40" s="300">
        <v>0.1854226812735254</v>
      </c>
      <c r="G40" s="300">
        <v>0.51151899132687206</v>
      </c>
      <c r="H40" s="301">
        <v>4.215011345835685E-3</v>
      </c>
      <c r="I40" s="49" t="s">
        <v>44</v>
      </c>
    </row>
    <row r="41" spans="1:9" ht="17.100000000000001" customHeight="1" x14ac:dyDescent="0.25">
      <c r="A41" s="38"/>
      <c r="B41" s="299">
        <v>4.0196113257662265E-2</v>
      </c>
      <c r="C41" s="300">
        <v>4.5111714624059135E-2</v>
      </c>
      <c r="D41" s="300">
        <v>2.1559371910820843E-2</v>
      </c>
      <c r="E41" s="300">
        <v>0.40037159437482572</v>
      </c>
      <c r="F41" s="300">
        <v>0.15334347711144161</v>
      </c>
      <c r="G41" s="300">
        <v>0.3331944027246761</v>
      </c>
      <c r="H41" s="301">
        <v>6.223325996518498E-3</v>
      </c>
      <c r="I41" s="49" t="s">
        <v>45</v>
      </c>
    </row>
    <row r="42" spans="1:9" ht="17.100000000000001" customHeight="1" x14ac:dyDescent="0.25">
      <c r="A42" s="38"/>
      <c r="B42" s="299">
        <v>2.7278165829195157E-2</v>
      </c>
      <c r="C42" s="300">
        <v>2.7241326066031548E-2</v>
      </c>
      <c r="D42" s="300">
        <v>1.697994536181548E-2</v>
      </c>
      <c r="E42" s="300">
        <v>0.49314265715262912</v>
      </c>
      <c r="F42" s="300">
        <v>0.14158860817080129</v>
      </c>
      <c r="G42" s="300">
        <v>0.29039085153809696</v>
      </c>
      <c r="H42" s="301">
        <v>3.3784458814308787E-3</v>
      </c>
      <c r="I42" s="49" t="s">
        <v>46</v>
      </c>
    </row>
    <row r="43" spans="1:9" ht="17.100000000000001" customHeight="1" x14ac:dyDescent="0.25">
      <c r="A43" s="38"/>
      <c r="B43" s="299">
        <v>2.1194389514233039E-2</v>
      </c>
      <c r="C43" s="300">
        <v>1.6058119117611614E-2</v>
      </c>
      <c r="D43" s="300">
        <v>1.0160604688339703E-2</v>
      </c>
      <c r="E43" s="300">
        <v>0.6979502234954752</v>
      </c>
      <c r="F43" s="300">
        <v>0.10016967681879665</v>
      </c>
      <c r="G43" s="300">
        <v>0.1521792119983735</v>
      </c>
      <c r="H43" s="301">
        <v>2.2877743671693568E-3</v>
      </c>
      <c r="I43" s="49" t="s">
        <v>47</v>
      </c>
    </row>
    <row r="44" spans="1:9" ht="17.100000000000001" customHeight="1" x14ac:dyDescent="0.25">
      <c r="A44" s="38"/>
      <c r="B44" s="299">
        <v>1.7073482327627072E-2</v>
      </c>
      <c r="C44" s="300">
        <v>7.8356369276810205E-3</v>
      </c>
      <c r="D44" s="300">
        <v>4.7601514630783836E-3</v>
      </c>
      <c r="E44" s="300">
        <v>0.79257610659772781</v>
      </c>
      <c r="F44" s="300">
        <v>7.4885900820401613E-2</v>
      </c>
      <c r="G44" s="300">
        <v>0.10014945545553712</v>
      </c>
      <c r="H44" s="301">
        <v>2.7192664079492461E-3</v>
      </c>
      <c r="I44" s="49" t="s">
        <v>48</v>
      </c>
    </row>
    <row r="45" spans="1:9" ht="17.100000000000001" customHeight="1" x14ac:dyDescent="0.25">
      <c r="A45" s="38" t="s">
        <v>5</v>
      </c>
      <c r="B45" s="299">
        <v>1.2955535780070106E-2</v>
      </c>
      <c r="C45" s="300">
        <v>3.195132335866515E-3</v>
      </c>
      <c r="D45" s="300">
        <v>9.7186666340454999E-4</v>
      </c>
      <c r="E45" s="300">
        <v>0.90196909949908954</v>
      </c>
      <c r="F45" s="300">
        <v>4.1290911482241795E-2</v>
      </c>
      <c r="G45" s="300">
        <v>3.8376317902626224E-2</v>
      </c>
      <c r="H45" s="301">
        <v>1.2411363367047408E-3</v>
      </c>
      <c r="I45" s="49" t="s">
        <v>5</v>
      </c>
    </row>
    <row r="46" spans="1:9" ht="17.100000000000001" customHeight="1" x14ac:dyDescent="0.25">
      <c r="A46" s="38"/>
      <c r="B46" s="299">
        <v>1.0586577159624834E-2</v>
      </c>
      <c r="C46" s="300">
        <v>2.2787203291760837E-3</v>
      </c>
      <c r="D46" s="300">
        <v>7.5731444319303385E-4</v>
      </c>
      <c r="E46" s="300">
        <v>0.93681379288007094</v>
      </c>
      <c r="F46" s="300">
        <v>2.3038397079221881E-2</v>
      </c>
      <c r="G46" s="300">
        <v>2.5265495458155082E-2</v>
      </c>
      <c r="H46" s="301">
        <v>1.2597026505601935E-3</v>
      </c>
      <c r="I46" s="49" t="s">
        <v>49</v>
      </c>
    </row>
    <row r="47" spans="1:9" ht="17.100000000000001" customHeight="1" x14ac:dyDescent="0.25">
      <c r="A47" s="38"/>
      <c r="B47" s="299">
        <v>6.5762731426679015E-3</v>
      </c>
      <c r="C47" s="300">
        <v>1.5022065289833038E-3</v>
      </c>
      <c r="D47" s="300">
        <v>6.34919205635438E-4</v>
      </c>
      <c r="E47" s="300">
        <v>0.97335630086026759</v>
      </c>
      <c r="F47" s="300">
        <v>9.8524349591699659E-3</v>
      </c>
      <c r="G47" s="300">
        <v>7.775153348839812E-3</v>
      </c>
      <c r="H47" s="301">
        <v>3.0271195443740156E-4</v>
      </c>
      <c r="I47" s="49" t="s">
        <v>50</v>
      </c>
    </row>
    <row r="48" spans="1:9" ht="17.100000000000001" customHeight="1" x14ac:dyDescent="0.25">
      <c r="A48" s="38"/>
      <c r="B48" s="299">
        <v>6.4151394894455607E-3</v>
      </c>
      <c r="C48" s="300">
        <v>1.1958192375864588E-3</v>
      </c>
      <c r="D48" s="300">
        <v>2.0481512984366231E-4</v>
      </c>
      <c r="E48" s="300">
        <v>0.97810989991358066</v>
      </c>
      <c r="F48" s="300">
        <v>7.4279324455785575E-3</v>
      </c>
      <c r="G48" s="300">
        <v>6.4559395574231718E-3</v>
      </c>
      <c r="H48" s="301">
        <v>1.9045422654312538E-4</v>
      </c>
      <c r="I48" s="49" t="s">
        <v>51</v>
      </c>
    </row>
    <row r="49" spans="1:22" ht="17.100000000000001" customHeight="1" x14ac:dyDescent="0.25">
      <c r="A49" s="38"/>
      <c r="B49" s="299">
        <v>5.9867688817323954E-3</v>
      </c>
      <c r="C49" s="300">
        <v>1.2216260163781508E-3</v>
      </c>
      <c r="D49" s="300">
        <v>2.714880083485783E-4</v>
      </c>
      <c r="E49" s="300">
        <v>0.98646071346522357</v>
      </c>
      <c r="F49" s="300">
        <v>4.1447552943187299E-3</v>
      </c>
      <c r="G49" s="300">
        <v>1.9146483339989376E-3</v>
      </c>
      <c r="H49" s="301">
        <v>0</v>
      </c>
      <c r="I49" s="49" t="s">
        <v>52</v>
      </c>
    </row>
    <row r="50" spans="1:22" ht="17.100000000000001" customHeight="1" x14ac:dyDescent="0.25">
      <c r="A50" s="38"/>
      <c r="B50" s="299">
        <v>5.1532931206369585E-3</v>
      </c>
      <c r="C50" s="300">
        <v>6.3873314541488494E-4</v>
      </c>
      <c r="D50" s="300">
        <v>5.7882145629054515E-4</v>
      </c>
      <c r="E50" s="300">
        <v>0.98864518056695616</v>
      </c>
      <c r="F50" s="300">
        <v>3.4489461752922352E-3</v>
      </c>
      <c r="G50" s="300">
        <v>1.227532533646694E-3</v>
      </c>
      <c r="H50" s="301">
        <v>3.0749300176326411E-4</v>
      </c>
      <c r="I50" s="49" t="s">
        <v>53</v>
      </c>
    </row>
    <row r="51" spans="1:22" ht="17.100000000000001" customHeight="1" x14ac:dyDescent="0.25">
      <c r="A51" s="38"/>
      <c r="B51" s="299">
        <v>5.0438580430891252E-3</v>
      </c>
      <c r="C51" s="300">
        <v>3.8796709979294183E-4</v>
      </c>
      <c r="D51" s="300">
        <v>2.8349706072023473E-4</v>
      </c>
      <c r="E51" s="300">
        <v>0.99133421100680952</v>
      </c>
      <c r="F51" s="300">
        <v>1.9124445100143128E-3</v>
      </c>
      <c r="G51" s="300">
        <v>1.0380222795747011E-3</v>
      </c>
      <c r="H51" s="301">
        <v>0</v>
      </c>
      <c r="I51" s="49" t="s">
        <v>54</v>
      </c>
    </row>
    <row r="52" spans="1:22" ht="17.100000000000001" customHeight="1" x14ac:dyDescent="0.25">
      <c r="A52" s="39" t="s">
        <v>6</v>
      </c>
      <c r="B52" s="302">
        <v>5.6185565592356572E-3</v>
      </c>
      <c r="C52" s="303">
        <v>6.0236321457637334E-4</v>
      </c>
      <c r="D52" s="303">
        <v>8.5294201030117005E-5</v>
      </c>
      <c r="E52" s="303">
        <v>0.99127293570526387</v>
      </c>
      <c r="F52" s="303">
        <v>1.8578241561086402E-3</v>
      </c>
      <c r="G52" s="303">
        <v>5.6302616378651885E-4</v>
      </c>
      <c r="H52" s="304">
        <v>0</v>
      </c>
      <c r="I52" s="50" t="s">
        <v>6</v>
      </c>
    </row>
    <row r="54" spans="1:22" ht="37.5" customHeight="1" x14ac:dyDescent="0.25">
      <c r="A54" s="1361" t="s">
        <v>700</v>
      </c>
      <c r="B54" s="1362"/>
      <c r="C54" s="1362"/>
      <c r="D54" s="1362"/>
      <c r="E54" s="1362"/>
      <c r="F54" s="1362"/>
      <c r="G54" s="1362"/>
      <c r="H54" s="1363"/>
      <c r="K54" s="1355" t="s">
        <v>489</v>
      </c>
      <c r="L54" s="1355"/>
      <c r="M54" s="1355"/>
      <c r="N54" s="1355"/>
      <c r="O54" s="1355"/>
      <c r="P54" s="1355"/>
      <c r="Q54" s="1355"/>
      <c r="R54" s="1355"/>
      <c r="S54" s="1355"/>
      <c r="T54" s="1355"/>
      <c r="U54" s="1355"/>
      <c r="V54" s="1355"/>
    </row>
    <row r="55" spans="1:22" ht="15.95" customHeight="1" x14ac:dyDescent="0.25">
      <c r="A55" s="1359"/>
      <c r="B55" s="34"/>
      <c r="C55" s="35"/>
      <c r="D55" s="35"/>
      <c r="E55" s="35"/>
      <c r="F55" s="35"/>
      <c r="G55" s="35"/>
      <c r="H55" s="36"/>
      <c r="I55" s="1353"/>
    </row>
    <row r="56" spans="1:22" ht="33" customHeight="1" x14ac:dyDescent="0.25">
      <c r="A56" s="1360"/>
      <c r="B56" s="293" t="s">
        <v>113</v>
      </c>
      <c r="C56" s="293" t="s">
        <v>114</v>
      </c>
      <c r="D56" s="294" t="s">
        <v>409</v>
      </c>
      <c r="E56" s="294" t="s">
        <v>410</v>
      </c>
      <c r="F56" s="294" t="s">
        <v>117</v>
      </c>
      <c r="G56" s="294" t="s">
        <v>411</v>
      </c>
      <c r="H56" s="295" t="s">
        <v>118</v>
      </c>
      <c r="I56" s="1354"/>
    </row>
    <row r="57" spans="1:22" ht="17.100000000000001" customHeight="1" x14ac:dyDescent="0.25">
      <c r="A57" s="37" t="s">
        <v>0</v>
      </c>
      <c r="B57" s="296">
        <v>1.4957656831851841E-2</v>
      </c>
      <c r="C57" s="297">
        <v>3.9251648600245083E-4</v>
      </c>
      <c r="D57" s="297">
        <v>6.9609628865921242E-4</v>
      </c>
      <c r="E57" s="305">
        <v>0.98107139901997154</v>
      </c>
      <c r="F57" s="297">
        <v>2.0075534299382105E-3</v>
      </c>
      <c r="G57" s="297">
        <v>3.2258547335646559E-4</v>
      </c>
      <c r="H57" s="298">
        <v>5.5219247022127594E-4</v>
      </c>
      <c r="I57" s="51" t="s">
        <v>0</v>
      </c>
    </row>
    <row r="58" spans="1:22" ht="17.100000000000001" customHeight="1" x14ac:dyDescent="0.25">
      <c r="A58" s="38"/>
      <c r="B58" s="299">
        <v>1.8255603499495152E-2</v>
      </c>
      <c r="C58" s="300">
        <v>1.6657614004459051E-3</v>
      </c>
      <c r="D58" s="300">
        <v>1.985011546012641E-3</v>
      </c>
      <c r="E58" s="306">
        <v>0.97668983386159525</v>
      </c>
      <c r="F58" s="300">
        <v>5.290117488744823E-4</v>
      </c>
      <c r="G58" s="300">
        <v>3.2258547335646559E-4</v>
      </c>
      <c r="H58" s="301">
        <v>5.5219247022127594E-4</v>
      </c>
      <c r="I58" s="53" t="s">
        <v>14</v>
      </c>
    </row>
    <row r="59" spans="1:22" ht="17.100000000000001" customHeight="1" x14ac:dyDescent="0.25">
      <c r="A59" s="38"/>
      <c r="B59" s="299">
        <v>2.757796939346864E-2</v>
      </c>
      <c r="C59" s="300">
        <v>5.8698809933804864E-3</v>
      </c>
      <c r="D59" s="300">
        <v>4.214032524403678E-3</v>
      </c>
      <c r="E59" s="306">
        <v>0.9593463502618591</v>
      </c>
      <c r="F59" s="300">
        <v>2.3663609271522227E-3</v>
      </c>
      <c r="G59" s="300">
        <v>6.2540589973739569E-4</v>
      </c>
      <c r="H59" s="301">
        <v>0</v>
      </c>
      <c r="I59" s="52" t="s">
        <v>15</v>
      </c>
    </row>
    <row r="60" spans="1:22" ht="17.100000000000001" customHeight="1" x14ac:dyDescent="0.25">
      <c r="A60" s="38"/>
      <c r="B60" s="299">
        <v>5.6270147015327801E-2</v>
      </c>
      <c r="C60" s="300">
        <v>1.1202323083605E-2</v>
      </c>
      <c r="D60" s="300">
        <v>1.5784617477973509E-2</v>
      </c>
      <c r="E60" s="306">
        <v>0.91053535654134199</v>
      </c>
      <c r="F60" s="300">
        <v>4.9265952817733527E-3</v>
      </c>
      <c r="G60" s="300">
        <v>1.2809605999809517E-3</v>
      </c>
      <c r="H60" s="301">
        <v>0</v>
      </c>
      <c r="I60" s="49" t="s">
        <v>16</v>
      </c>
    </row>
    <row r="61" spans="1:22" ht="17.100000000000001" customHeight="1" x14ac:dyDescent="0.25">
      <c r="A61" s="38"/>
      <c r="B61" s="299">
        <v>9.4680787733798122E-2</v>
      </c>
      <c r="C61" s="300">
        <v>1.8057703988458535E-2</v>
      </c>
      <c r="D61" s="300">
        <v>1.9092339662367241E-2</v>
      </c>
      <c r="E61" s="306">
        <v>0.85677263434773832</v>
      </c>
      <c r="F61" s="300">
        <v>6.984451704753385E-3</v>
      </c>
      <c r="G61" s="300">
        <v>2.6458998980724373E-3</v>
      </c>
      <c r="H61" s="301">
        <v>1.7661826648170511E-3</v>
      </c>
      <c r="I61" s="49" t="s">
        <v>17</v>
      </c>
    </row>
    <row r="62" spans="1:22" ht="17.100000000000001" customHeight="1" x14ac:dyDescent="0.25">
      <c r="A62" s="38"/>
      <c r="B62" s="299">
        <v>0.15865091647578722</v>
      </c>
      <c r="C62" s="300">
        <v>3.7105441766027786E-2</v>
      </c>
      <c r="D62" s="300">
        <v>5.1423345920340438E-2</v>
      </c>
      <c r="E62" s="306">
        <v>0.73865357352149308</v>
      </c>
      <c r="F62" s="300">
        <v>6.5527864903482955E-3</v>
      </c>
      <c r="G62" s="300">
        <v>6.1705505577765267E-3</v>
      </c>
      <c r="H62" s="301">
        <v>1.4433852682410677E-3</v>
      </c>
      <c r="I62" s="49" t="s">
        <v>18</v>
      </c>
    </row>
    <row r="63" spans="1:22" ht="17.100000000000001" customHeight="1" x14ac:dyDescent="0.25">
      <c r="A63" s="38"/>
      <c r="B63" s="299">
        <v>0.2322856868294314</v>
      </c>
      <c r="C63" s="300">
        <v>5.7299048345120493E-2</v>
      </c>
      <c r="D63" s="300">
        <v>6.7802050096622615E-2</v>
      </c>
      <c r="E63" s="306">
        <v>0.61376699782184385</v>
      </c>
      <c r="F63" s="300">
        <v>1.4002478593285315E-2</v>
      </c>
      <c r="G63" s="300">
        <v>1.3187462461521565E-2</v>
      </c>
      <c r="H63" s="301">
        <v>1.6562758521897524E-3</v>
      </c>
      <c r="I63" s="49" t="s">
        <v>19</v>
      </c>
    </row>
    <row r="64" spans="1:22" ht="17.100000000000001" customHeight="1" x14ac:dyDescent="0.25">
      <c r="A64" s="38"/>
      <c r="B64" s="299">
        <v>0.29349745679697659</v>
      </c>
      <c r="C64" s="300">
        <v>8.8357832105970105E-2</v>
      </c>
      <c r="D64" s="300">
        <v>0.1303574959828479</v>
      </c>
      <c r="E64" s="306">
        <v>0.44040854050404232</v>
      </c>
      <c r="F64" s="300">
        <v>2.8438884282410957E-2</v>
      </c>
      <c r="G64" s="300">
        <v>1.6543222289495067E-2</v>
      </c>
      <c r="H64" s="301">
        <v>2.3965680382698564E-3</v>
      </c>
      <c r="I64" s="49" t="s">
        <v>20</v>
      </c>
    </row>
    <row r="65" spans="1:9" ht="17.100000000000001" customHeight="1" x14ac:dyDescent="0.25">
      <c r="A65" s="38" t="s">
        <v>1</v>
      </c>
      <c r="B65" s="299">
        <v>0.34364254932473398</v>
      </c>
      <c r="C65" s="300">
        <v>0.13002363429252417</v>
      </c>
      <c r="D65" s="307">
        <v>0.14087086897705298</v>
      </c>
      <c r="E65" s="306">
        <v>0.31941601179488405</v>
      </c>
      <c r="F65" s="300">
        <v>3.6604392544650435E-2</v>
      </c>
      <c r="G65" s="300">
        <v>2.6266558364303191E-2</v>
      </c>
      <c r="H65" s="301">
        <v>3.1759847018604519E-3</v>
      </c>
      <c r="I65" s="49" t="s">
        <v>1</v>
      </c>
    </row>
    <row r="66" spans="1:9" ht="17.100000000000001" customHeight="1" x14ac:dyDescent="0.25">
      <c r="A66" s="38"/>
      <c r="B66" s="299">
        <v>0.3739115127304079</v>
      </c>
      <c r="C66" s="300">
        <v>0.1567797643071315</v>
      </c>
      <c r="D66" s="307">
        <v>0.16016546854185423</v>
      </c>
      <c r="E66" s="306">
        <v>0.22218391294454209</v>
      </c>
      <c r="F66" s="300">
        <v>5.2946889223776397E-2</v>
      </c>
      <c r="G66" s="300">
        <v>3.1080890913021252E-2</v>
      </c>
      <c r="H66" s="301">
        <v>2.9315613392759889E-3</v>
      </c>
      <c r="I66" s="49" t="s">
        <v>21</v>
      </c>
    </row>
    <row r="67" spans="1:9" ht="17.100000000000001" customHeight="1" x14ac:dyDescent="0.25">
      <c r="A67" s="71"/>
      <c r="B67" s="299">
        <v>0.35706908104817087</v>
      </c>
      <c r="C67" s="300">
        <v>0.17475194210393538</v>
      </c>
      <c r="D67" s="307">
        <v>0.1759378022730558</v>
      </c>
      <c r="E67" s="306">
        <v>0.18164328742107044</v>
      </c>
      <c r="F67" s="300">
        <v>6.5564859757935925E-2</v>
      </c>
      <c r="G67" s="300">
        <v>4.0653705601856015E-2</v>
      </c>
      <c r="H67" s="301">
        <v>4.3793217939854896E-3</v>
      </c>
      <c r="I67" s="49" t="s">
        <v>22</v>
      </c>
    </row>
    <row r="68" spans="1:9" ht="17.100000000000001" customHeight="1" x14ac:dyDescent="0.25">
      <c r="A68" s="38"/>
      <c r="B68" s="299">
        <v>0.38400633658289141</v>
      </c>
      <c r="C68" s="300">
        <v>0.17622153273462463</v>
      </c>
      <c r="D68" s="307">
        <v>0.16465905120050436</v>
      </c>
      <c r="E68" s="306">
        <v>0.12560338242773525</v>
      </c>
      <c r="F68" s="300">
        <v>9.8370170739443652E-2</v>
      </c>
      <c r="G68" s="300">
        <v>4.7670272126071937E-2</v>
      </c>
      <c r="H68" s="301">
        <v>3.4692541887392835E-3</v>
      </c>
      <c r="I68" s="49" t="s">
        <v>23</v>
      </c>
    </row>
    <row r="69" spans="1:9" ht="17.100000000000001" customHeight="1" x14ac:dyDescent="0.25">
      <c r="A69" s="71"/>
      <c r="B69" s="299">
        <v>0.32436928746665067</v>
      </c>
      <c r="C69" s="308">
        <v>0.2071478841091004</v>
      </c>
      <c r="D69" s="307">
        <v>0.19045187659029378</v>
      </c>
      <c r="E69" s="306">
        <v>0.10299034812829194</v>
      </c>
      <c r="F69" s="306">
        <v>0.12847694103712168</v>
      </c>
      <c r="G69" s="300">
        <v>3.8447470603095391E-2</v>
      </c>
      <c r="H69" s="301">
        <v>8.1161920654551842E-3</v>
      </c>
      <c r="I69" s="49" t="s">
        <v>24</v>
      </c>
    </row>
    <row r="70" spans="1:9" ht="17.100000000000001" customHeight="1" x14ac:dyDescent="0.25">
      <c r="A70" s="38"/>
      <c r="B70" s="309">
        <v>0.39705693454551017</v>
      </c>
      <c r="C70" s="308">
        <v>0.20444205775106084</v>
      </c>
      <c r="D70" s="307">
        <v>0.12163939210688496</v>
      </c>
      <c r="E70" s="306">
        <v>6.0957292437682345E-2</v>
      </c>
      <c r="F70" s="306">
        <v>0.16530660335678743</v>
      </c>
      <c r="G70" s="300">
        <v>4.3271855702236926E-2</v>
      </c>
      <c r="H70" s="301">
        <v>7.3258640998474902E-3</v>
      </c>
      <c r="I70" s="49" t="s">
        <v>25</v>
      </c>
    </row>
    <row r="71" spans="1:9" ht="17.100000000000001" customHeight="1" x14ac:dyDescent="0.25">
      <c r="A71" s="71"/>
      <c r="B71" s="309">
        <v>0.40231997046753798</v>
      </c>
      <c r="C71" s="308">
        <v>0.19605202183097351</v>
      </c>
      <c r="D71" s="300">
        <v>9.5626956322508866E-2</v>
      </c>
      <c r="E71" s="306">
        <v>4.9752819937925817E-2</v>
      </c>
      <c r="F71" s="306">
        <v>0.19493294951495665</v>
      </c>
      <c r="G71" s="300">
        <v>5.3340701335910123E-2</v>
      </c>
      <c r="H71" s="301">
        <v>7.9745805901969245E-3</v>
      </c>
      <c r="I71" s="49" t="s">
        <v>27</v>
      </c>
    </row>
    <row r="72" spans="1:9" ht="17.100000000000001" customHeight="1" x14ac:dyDescent="0.25">
      <c r="A72" s="38"/>
      <c r="B72" s="309">
        <v>0.42681103614703519</v>
      </c>
      <c r="C72" s="300">
        <v>0.18806667280272241</v>
      </c>
      <c r="D72" s="300">
        <v>7.2043892169114263E-2</v>
      </c>
      <c r="E72" s="306">
        <v>3.7641929093636936E-2</v>
      </c>
      <c r="F72" s="306">
        <v>0.21355131129603969</v>
      </c>
      <c r="G72" s="300">
        <v>5.7624532829336897E-2</v>
      </c>
      <c r="H72" s="301">
        <v>4.2606256621252206E-3</v>
      </c>
      <c r="I72" s="49" t="s">
        <v>26</v>
      </c>
    </row>
    <row r="73" spans="1:9" ht="17.100000000000001" customHeight="1" x14ac:dyDescent="0.25">
      <c r="A73" s="38" t="s">
        <v>2</v>
      </c>
      <c r="B73" s="309">
        <v>0.41782032043451744</v>
      </c>
      <c r="C73" s="300">
        <v>0.16964205825904938</v>
      </c>
      <c r="D73" s="300">
        <v>8.759891599126797E-2</v>
      </c>
      <c r="E73" s="306">
        <v>3.2916685273586196E-2</v>
      </c>
      <c r="F73" s="306">
        <v>0.22271052882142756</v>
      </c>
      <c r="G73" s="300">
        <v>6.550544115727247E-2</v>
      </c>
      <c r="H73" s="301">
        <v>3.8060500628896319E-3</v>
      </c>
      <c r="I73" s="49" t="s">
        <v>2</v>
      </c>
    </row>
    <row r="74" spans="1:9" ht="17.100000000000001" customHeight="1" x14ac:dyDescent="0.25">
      <c r="A74" s="38"/>
      <c r="B74" s="309">
        <v>0.43138502268879608</v>
      </c>
      <c r="C74" s="300">
        <v>0.16361912379243237</v>
      </c>
      <c r="D74" s="300">
        <v>6.8091151191797261E-2</v>
      </c>
      <c r="E74" s="306">
        <v>2.8945260101884362E-2</v>
      </c>
      <c r="F74" s="306">
        <v>0.23515746817513283</v>
      </c>
      <c r="G74" s="300">
        <v>6.8849851056314262E-2</v>
      </c>
      <c r="H74" s="301">
        <v>3.952122993653889E-3</v>
      </c>
      <c r="I74" s="49" t="s">
        <v>28</v>
      </c>
    </row>
    <row r="75" spans="1:9" ht="17.100000000000001" customHeight="1" x14ac:dyDescent="0.25">
      <c r="A75" s="38"/>
      <c r="B75" s="309">
        <v>0.39650944061560728</v>
      </c>
      <c r="C75" s="300">
        <v>0.13999091474264336</v>
      </c>
      <c r="D75" s="300">
        <v>0.14157093568020424</v>
      </c>
      <c r="E75" s="306">
        <v>4.7194807017159481E-2</v>
      </c>
      <c r="F75" s="306">
        <v>0.22522032949926199</v>
      </c>
      <c r="G75" s="300">
        <v>4.7245763960172465E-2</v>
      </c>
      <c r="H75" s="301">
        <v>2.267808484960701E-3</v>
      </c>
      <c r="I75" s="49" t="s">
        <v>29</v>
      </c>
    </row>
    <row r="76" spans="1:9" ht="17.100000000000001" customHeight="1" x14ac:dyDescent="0.25">
      <c r="A76" s="38"/>
      <c r="B76" s="309">
        <v>0.41348408404597281</v>
      </c>
      <c r="C76" s="300">
        <v>0.14248706503620889</v>
      </c>
      <c r="D76" s="300">
        <v>0.10657725919636649</v>
      </c>
      <c r="E76" s="306">
        <v>3.9939320781912417E-2</v>
      </c>
      <c r="F76" s="306">
        <v>0.24125629967398748</v>
      </c>
      <c r="G76" s="300">
        <v>5.3936985229348186E-2</v>
      </c>
      <c r="H76" s="301">
        <v>2.3189860362136478E-3</v>
      </c>
      <c r="I76" s="49" t="s">
        <v>30</v>
      </c>
    </row>
    <row r="77" spans="1:9" ht="17.100000000000001" customHeight="1" x14ac:dyDescent="0.25">
      <c r="A77" s="38"/>
      <c r="B77" s="309">
        <v>0.39258721641763367</v>
      </c>
      <c r="C77" s="300">
        <v>0.11777117722758421</v>
      </c>
      <c r="D77" s="307">
        <v>0.15682234037716988</v>
      </c>
      <c r="E77" s="306">
        <v>4.1731309509194833E-2</v>
      </c>
      <c r="F77" s="306">
        <v>0.23628508321901046</v>
      </c>
      <c r="G77" s="300">
        <v>5.144202211697204E-2</v>
      </c>
      <c r="H77" s="301">
        <v>3.3608511324443517E-3</v>
      </c>
      <c r="I77" s="49" t="s">
        <v>31</v>
      </c>
    </row>
    <row r="78" spans="1:9" ht="17.100000000000001" customHeight="1" x14ac:dyDescent="0.25">
      <c r="A78" s="38"/>
      <c r="B78" s="299">
        <v>0.37851512127384013</v>
      </c>
      <c r="C78" s="300">
        <v>0.12021742483105849</v>
      </c>
      <c r="D78" s="307">
        <v>0.15554782055711808</v>
      </c>
      <c r="E78" s="306">
        <v>5.0639003445212404E-2</v>
      </c>
      <c r="F78" s="306">
        <v>0.23699058172707491</v>
      </c>
      <c r="G78" s="300">
        <v>5.6184706871556293E-2</v>
      </c>
      <c r="H78" s="301">
        <v>1.9053412941491025E-3</v>
      </c>
      <c r="I78" s="49" t="s">
        <v>32</v>
      </c>
    </row>
    <row r="79" spans="1:9" ht="17.100000000000001" customHeight="1" x14ac:dyDescent="0.25">
      <c r="A79" s="38"/>
      <c r="B79" s="299">
        <v>0.34701326451231584</v>
      </c>
      <c r="C79" s="300">
        <v>0.11463834924499604</v>
      </c>
      <c r="D79" s="306">
        <v>0.18179586569334089</v>
      </c>
      <c r="E79" s="306">
        <v>5.5767007278551682E-2</v>
      </c>
      <c r="F79" s="306">
        <v>0.24341741241343187</v>
      </c>
      <c r="G79" s="300">
        <v>5.5607703330782299E-2</v>
      </c>
      <c r="H79" s="301">
        <v>1.7603975265903899E-3</v>
      </c>
      <c r="I79" s="49" t="s">
        <v>33</v>
      </c>
    </row>
    <row r="80" spans="1:9" ht="17.100000000000001" customHeight="1" x14ac:dyDescent="0.25">
      <c r="A80" s="38"/>
      <c r="B80" s="299">
        <v>0.28007494223542861</v>
      </c>
      <c r="C80" s="300">
        <v>0.12436156309329256</v>
      </c>
      <c r="D80" s="307">
        <v>0.1764073669708825</v>
      </c>
      <c r="E80" s="306">
        <v>6.8418301764369832E-2</v>
      </c>
      <c r="F80" s="306">
        <v>0.2802952448821569</v>
      </c>
      <c r="G80" s="300">
        <v>6.6203837277089228E-2</v>
      </c>
      <c r="H80" s="301">
        <v>4.2387437767888551E-3</v>
      </c>
      <c r="I80" s="49" t="s">
        <v>34</v>
      </c>
    </row>
    <row r="81" spans="1:9" ht="17.100000000000001" customHeight="1" x14ac:dyDescent="0.25">
      <c r="A81" s="38" t="s">
        <v>3</v>
      </c>
      <c r="B81" s="299">
        <v>0.24949204503229688</v>
      </c>
      <c r="C81" s="300">
        <v>0.14576736943584387</v>
      </c>
      <c r="D81" s="307">
        <v>0.14985397344400825</v>
      </c>
      <c r="E81" s="306">
        <v>6.928556313477148E-2</v>
      </c>
      <c r="F81" s="306">
        <v>0.30221492426558105</v>
      </c>
      <c r="G81" s="300">
        <v>7.9612842170955517E-2</v>
      </c>
      <c r="H81" s="301">
        <v>3.7732825165522456E-3</v>
      </c>
      <c r="I81" s="49" t="s">
        <v>3</v>
      </c>
    </row>
    <row r="82" spans="1:9" ht="17.100000000000001" customHeight="1" x14ac:dyDescent="0.25">
      <c r="A82" s="38"/>
      <c r="B82" s="299">
        <v>0.21457660618214006</v>
      </c>
      <c r="C82" s="300">
        <v>0.14695087275200278</v>
      </c>
      <c r="D82" s="307">
        <v>0.15657112986132171</v>
      </c>
      <c r="E82" s="306">
        <v>7.4754758549903391E-2</v>
      </c>
      <c r="F82" s="306">
        <v>0.3116246425635894</v>
      </c>
      <c r="G82" s="300">
        <v>9.2055426395806397E-2</v>
      </c>
      <c r="H82" s="301">
        <v>3.4665636952459205E-3</v>
      </c>
      <c r="I82" s="49" t="s">
        <v>35</v>
      </c>
    </row>
    <row r="83" spans="1:9" ht="17.100000000000001" customHeight="1" x14ac:dyDescent="0.25">
      <c r="A83" s="38"/>
      <c r="B83" s="299">
        <v>0.1863803021692427</v>
      </c>
      <c r="C83" s="300">
        <v>0.14513578602716984</v>
      </c>
      <c r="D83" s="307">
        <v>0.14431447412579276</v>
      </c>
      <c r="E83" s="306">
        <v>7.0626850821428291E-2</v>
      </c>
      <c r="F83" s="306">
        <v>0.34725780707900616</v>
      </c>
      <c r="G83" s="300">
        <v>0.10197395913853144</v>
      </c>
      <c r="H83" s="301">
        <v>4.3108206388388559E-3</v>
      </c>
      <c r="I83" s="49" t="s">
        <v>36</v>
      </c>
    </row>
    <row r="84" spans="1:9" ht="17.100000000000001" customHeight="1" x14ac:dyDescent="0.25">
      <c r="A84" s="38"/>
      <c r="B84" s="299">
        <v>0.16878503333955275</v>
      </c>
      <c r="C84" s="300">
        <v>0.14749666117687196</v>
      </c>
      <c r="D84" s="307">
        <v>0.12337550837551231</v>
      </c>
      <c r="E84" s="306">
        <v>6.2346496396738553E-2</v>
      </c>
      <c r="F84" s="306">
        <v>0.37231165048815368</v>
      </c>
      <c r="G84" s="300">
        <v>0.1215094132341395</v>
      </c>
      <c r="H84" s="301">
        <v>4.1752369890418342E-3</v>
      </c>
      <c r="I84" s="49" t="s">
        <v>37</v>
      </c>
    </row>
    <row r="85" spans="1:9" ht="17.100000000000001" customHeight="1" x14ac:dyDescent="0.25">
      <c r="A85" s="38"/>
      <c r="B85" s="299">
        <v>0.13961600293213516</v>
      </c>
      <c r="C85" s="300">
        <v>0.17377655355528121</v>
      </c>
      <c r="D85" s="307">
        <v>0.12553211729317107</v>
      </c>
      <c r="E85" s="306">
        <v>4.8153762102522701E-2</v>
      </c>
      <c r="F85" s="306">
        <v>0.36341383829575635</v>
      </c>
      <c r="G85" s="300">
        <v>0.14467518058299286</v>
      </c>
      <c r="H85" s="301">
        <v>4.8325452381514722E-3</v>
      </c>
      <c r="I85" s="49" t="s">
        <v>38</v>
      </c>
    </row>
    <row r="86" spans="1:9" ht="17.100000000000001" customHeight="1" x14ac:dyDescent="0.25">
      <c r="A86" s="38"/>
      <c r="B86" s="299">
        <v>0.13001270063759385</v>
      </c>
      <c r="C86" s="300">
        <v>0.15952028721958758</v>
      </c>
      <c r="D86" s="307">
        <v>0.11827865226657085</v>
      </c>
      <c r="E86" s="306">
        <v>5.0443904953099993E-2</v>
      </c>
      <c r="F86" s="306">
        <v>0.36370912191770616</v>
      </c>
      <c r="G86" s="300">
        <v>0.17309468501989148</v>
      </c>
      <c r="H86" s="301">
        <v>4.9406479855610566E-3</v>
      </c>
      <c r="I86" s="49" t="s">
        <v>39</v>
      </c>
    </row>
    <row r="87" spans="1:9" ht="17.100000000000001" customHeight="1" x14ac:dyDescent="0.25">
      <c r="A87" s="38"/>
      <c r="B87" s="299">
        <v>9.2093674723540742E-2</v>
      </c>
      <c r="C87" s="300">
        <v>0.12881361493193572</v>
      </c>
      <c r="D87" s="307">
        <v>0.15622977651155073</v>
      </c>
      <c r="E87" s="306">
        <v>5.5367020146206529E-2</v>
      </c>
      <c r="F87" s="306">
        <v>0.28828612252693331</v>
      </c>
      <c r="G87" s="300">
        <v>0.27404964236923801</v>
      </c>
      <c r="H87" s="301">
        <v>5.1601487906047742E-3</v>
      </c>
      <c r="I87" s="49" t="s">
        <v>40</v>
      </c>
    </row>
    <row r="88" spans="1:9" ht="17.100000000000001" customHeight="1" x14ac:dyDescent="0.25">
      <c r="A88" s="38"/>
      <c r="B88" s="299">
        <v>8.2324917078972618E-2</v>
      </c>
      <c r="C88" s="300">
        <v>0.10572534760864277</v>
      </c>
      <c r="D88" s="307">
        <v>0.14542696036484751</v>
      </c>
      <c r="E88" s="306">
        <v>4.9835595723400149E-2</v>
      </c>
      <c r="F88" s="306">
        <v>0.27964062345358809</v>
      </c>
      <c r="G88" s="300">
        <v>0.33185720647554562</v>
      </c>
      <c r="H88" s="301">
        <v>5.1893492950130489E-3</v>
      </c>
      <c r="I88" s="49" t="s">
        <v>41</v>
      </c>
    </row>
    <row r="89" spans="1:9" ht="17.100000000000001" customHeight="1" x14ac:dyDescent="0.25">
      <c r="A89" s="38" t="s">
        <v>4</v>
      </c>
      <c r="B89" s="299">
        <v>6.2610725331460018E-2</v>
      </c>
      <c r="C89" s="300">
        <v>7.0236678863664748E-2</v>
      </c>
      <c r="D89" s="307">
        <v>0.17900734875131386</v>
      </c>
      <c r="E89" s="306">
        <v>5.0307467164630325E-2</v>
      </c>
      <c r="F89" s="306">
        <v>0.26021668336963599</v>
      </c>
      <c r="G89" s="300">
        <v>0.37197835330583146</v>
      </c>
      <c r="H89" s="301">
        <v>5.6427432134730105E-3</v>
      </c>
      <c r="I89" s="49" t="s">
        <v>4</v>
      </c>
    </row>
    <row r="90" spans="1:9" ht="17.100000000000001" customHeight="1" x14ac:dyDescent="0.25">
      <c r="A90" s="38"/>
      <c r="B90" s="299">
        <v>5.7491517342443649E-2</v>
      </c>
      <c r="C90" s="300">
        <v>5.8101356675445845E-2</v>
      </c>
      <c r="D90" s="307">
        <v>0.12438356104370747</v>
      </c>
      <c r="E90" s="306">
        <v>5.0043810583349189E-2</v>
      </c>
      <c r="F90" s="306">
        <v>0.25747679182371702</v>
      </c>
      <c r="G90" s="300">
        <v>0.44556713190376052</v>
      </c>
      <c r="H90" s="301">
        <v>6.9358306275893429E-3</v>
      </c>
      <c r="I90" s="49" t="s">
        <v>43</v>
      </c>
    </row>
    <row r="91" spans="1:9" ht="17.100000000000001" customHeight="1" x14ac:dyDescent="0.25">
      <c r="A91" s="38"/>
      <c r="B91" s="299">
        <v>5.2024733131894013E-2</v>
      </c>
      <c r="C91" s="300">
        <v>4.1198452260888078E-2</v>
      </c>
      <c r="D91" s="300">
        <v>7.524523935737723E-2</v>
      </c>
      <c r="E91" s="306">
        <v>0.11633689167470829</v>
      </c>
      <c r="F91" s="306">
        <v>0.2213818943245153</v>
      </c>
      <c r="G91" s="300">
        <v>0.48362852909836684</v>
      </c>
      <c r="H91" s="301">
        <v>1.0184260152264474E-2</v>
      </c>
      <c r="I91" s="49" t="s">
        <v>42</v>
      </c>
    </row>
    <row r="92" spans="1:9" ht="17.100000000000001" customHeight="1" x14ac:dyDescent="0.25">
      <c r="A92" s="38"/>
      <c r="B92" s="299">
        <v>4.8436813034827539E-2</v>
      </c>
      <c r="C92" s="300">
        <v>2.7902548411260223E-2</v>
      </c>
      <c r="D92" s="300">
        <v>4.3722620497925198E-2</v>
      </c>
      <c r="E92" s="306">
        <v>0.1470704085471384</v>
      </c>
      <c r="F92" s="306">
        <v>0.21479226336072033</v>
      </c>
      <c r="G92" s="300">
        <v>0.51300157862946794</v>
      </c>
      <c r="H92" s="301">
        <v>5.0737675186742727E-3</v>
      </c>
      <c r="I92" s="49" t="s">
        <v>44</v>
      </c>
    </row>
    <row r="93" spans="1:9" ht="17.100000000000001" customHeight="1" x14ac:dyDescent="0.25">
      <c r="A93" s="38"/>
      <c r="B93" s="299">
        <v>4.4023012480979451E-2</v>
      </c>
      <c r="C93" s="300">
        <v>2.1398363398463197E-2</v>
      </c>
      <c r="D93" s="300">
        <v>3.1498074251692661E-2</v>
      </c>
      <c r="E93" s="306">
        <v>0.38983950937505585</v>
      </c>
      <c r="F93" s="306">
        <v>0.16846953207226675</v>
      </c>
      <c r="G93" s="300">
        <v>0.33535288048953132</v>
      </c>
      <c r="H93" s="301">
        <v>9.4186279320210876E-3</v>
      </c>
      <c r="I93" s="49" t="s">
        <v>45</v>
      </c>
    </row>
    <row r="94" spans="1:9" ht="17.100000000000001" customHeight="1" x14ac:dyDescent="0.25">
      <c r="A94" s="38"/>
      <c r="B94" s="299">
        <v>3.036702928062435E-2</v>
      </c>
      <c r="C94" s="300">
        <v>1.3993090980369816E-2</v>
      </c>
      <c r="D94" s="300">
        <v>2.1753847375729597E-2</v>
      </c>
      <c r="E94" s="306">
        <v>0.47906589012867207</v>
      </c>
      <c r="F94" s="306">
        <v>0.16226809214525909</v>
      </c>
      <c r="G94" s="300">
        <v>0.289024256991325</v>
      </c>
      <c r="H94" s="301">
        <v>3.5277930980329724E-3</v>
      </c>
      <c r="I94" s="49" t="s">
        <v>46</v>
      </c>
    </row>
    <row r="95" spans="1:9" ht="17.100000000000001" customHeight="1" x14ac:dyDescent="0.25">
      <c r="A95" s="38"/>
      <c r="B95" s="299">
        <v>2.1154566515673885E-2</v>
      </c>
      <c r="C95" s="300">
        <v>7.8765204996335374E-3</v>
      </c>
      <c r="D95" s="300">
        <v>1.5611207534370446E-2</v>
      </c>
      <c r="E95" s="306">
        <v>0.67666346641570185</v>
      </c>
      <c r="F95" s="306">
        <v>0.11522635382962342</v>
      </c>
      <c r="G95" s="300">
        <v>0.1591014853515004</v>
      </c>
      <c r="H95" s="301">
        <v>4.3663998535114473E-3</v>
      </c>
      <c r="I95" s="49" t="s">
        <v>47</v>
      </c>
    </row>
    <row r="96" spans="1:9" ht="17.100000000000001" customHeight="1" x14ac:dyDescent="0.25">
      <c r="A96" s="38"/>
      <c r="B96" s="299">
        <v>1.8722922042730294E-2</v>
      </c>
      <c r="C96" s="300">
        <v>2.7093583071039974E-3</v>
      </c>
      <c r="D96" s="300">
        <v>5.7658737625194715E-3</v>
      </c>
      <c r="E96" s="306">
        <v>0.77498586734196229</v>
      </c>
      <c r="F96" s="300">
        <v>8.3954283907778093E-2</v>
      </c>
      <c r="G96" s="300">
        <v>0.1094440432888831</v>
      </c>
      <c r="H96" s="301">
        <v>4.4176513490336491E-3</v>
      </c>
      <c r="I96" s="49" t="s">
        <v>48</v>
      </c>
    </row>
    <row r="97" spans="1:22" ht="17.100000000000001" customHeight="1" x14ac:dyDescent="0.25">
      <c r="A97" s="38" t="s">
        <v>5</v>
      </c>
      <c r="B97" s="299">
        <v>1.778826223826873E-2</v>
      </c>
      <c r="C97" s="300">
        <v>1.5580638144618581E-3</v>
      </c>
      <c r="D97" s="300">
        <v>1.2000888382186186E-3</v>
      </c>
      <c r="E97" s="306">
        <v>0.88555611946941459</v>
      </c>
      <c r="F97" s="300">
        <v>4.6775492967366675E-2</v>
      </c>
      <c r="G97" s="300">
        <v>4.6198923185809801E-2</v>
      </c>
      <c r="H97" s="301">
        <v>9.2304948646357613E-4</v>
      </c>
      <c r="I97" s="49" t="s">
        <v>5</v>
      </c>
    </row>
    <row r="98" spans="1:22" ht="17.100000000000001" customHeight="1" x14ac:dyDescent="0.25">
      <c r="A98" s="38"/>
      <c r="B98" s="299">
        <v>1.5362216646882405E-2</v>
      </c>
      <c r="C98" s="300">
        <v>3.8431343489353905E-4</v>
      </c>
      <c r="D98" s="300">
        <v>7.7462603273112775E-4</v>
      </c>
      <c r="E98" s="306">
        <v>0.9167951559974179</v>
      </c>
      <c r="F98" s="300">
        <v>3.1187416870389218E-2</v>
      </c>
      <c r="G98" s="300">
        <v>3.4279038384428556E-2</v>
      </c>
      <c r="H98" s="301">
        <v>1.2172326332590461E-3</v>
      </c>
      <c r="I98" s="49" t="s">
        <v>49</v>
      </c>
    </row>
    <row r="99" spans="1:22" ht="17.100000000000001" customHeight="1" x14ac:dyDescent="0.25">
      <c r="A99" s="38"/>
      <c r="B99" s="299">
        <v>1.1140028610653871E-2</v>
      </c>
      <c r="C99" s="300">
        <v>9.5471781804638519E-4</v>
      </c>
      <c r="D99" s="300">
        <v>1.0180083396984078E-3</v>
      </c>
      <c r="E99" s="306">
        <v>0.96488469720828318</v>
      </c>
      <c r="F99" s="300">
        <v>1.2288133474357765E-2</v>
      </c>
      <c r="G99" s="300">
        <v>9.0866357055880333E-3</v>
      </c>
      <c r="H99" s="301">
        <v>6.2777884337320044E-4</v>
      </c>
      <c r="I99" s="49" t="s">
        <v>50</v>
      </c>
    </row>
    <row r="100" spans="1:22" ht="17.100000000000001" customHeight="1" x14ac:dyDescent="0.25">
      <c r="A100" s="38"/>
      <c r="B100" s="299">
        <v>1.0805861766676994E-2</v>
      </c>
      <c r="C100" s="300">
        <v>0</v>
      </c>
      <c r="D100" s="300">
        <v>2.5895319851008155E-4</v>
      </c>
      <c r="E100" s="306">
        <v>0.97004193925100646</v>
      </c>
      <c r="F100" s="300">
        <v>1.0951722334569401E-2</v>
      </c>
      <c r="G100" s="300">
        <v>7.5465501675351368E-3</v>
      </c>
      <c r="H100" s="301">
        <v>3.9497328170270669E-4</v>
      </c>
      <c r="I100" s="49" t="s">
        <v>51</v>
      </c>
    </row>
    <row r="101" spans="1:22" ht="17.100000000000001" customHeight="1" x14ac:dyDescent="0.25">
      <c r="A101" s="38"/>
      <c r="B101" s="299">
        <v>1.0573056205006502E-2</v>
      </c>
      <c r="C101" s="300">
        <v>4.1104277576607391E-4</v>
      </c>
      <c r="D101" s="300">
        <v>3.9722267197692319E-4</v>
      </c>
      <c r="E101" s="306">
        <v>0.98078491442990323</v>
      </c>
      <c r="F101" s="300">
        <v>5.0339833040179737E-3</v>
      </c>
      <c r="G101" s="300">
        <v>2.7997806133303344E-3</v>
      </c>
      <c r="H101" s="301">
        <v>0</v>
      </c>
      <c r="I101" s="49" t="s">
        <v>52</v>
      </c>
    </row>
    <row r="102" spans="1:22" ht="17.100000000000001" customHeight="1" x14ac:dyDescent="0.25">
      <c r="A102" s="38"/>
      <c r="B102" s="299">
        <v>9.4822474561366936E-3</v>
      </c>
      <c r="C102" s="300">
        <v>4.1104277576607391E-4</v>
      </c>
      <c r="D102" s="300">
        <v>1.0345857944128547E-3</v>
      </c>
      <c r="E102" s="306">
        <v>0.98303185533328175</v>
      </c>
      <c r="F102" s="300">
        <v>4.4051570168022903E-3</v>
      </c>
      <c r="G102" s="300">
        <v>1.635111623601302E-3</v>
      </c>
      <c r="H102" s="301">
        <v>0</v>
      </c>
      <c r="I102" s="49" t="s">
        <v>53</v>
      </c>
    </row>
    <row r="103" spans="1:22" ht="17.100000000000001" customHeight="1" x14ac:dyDescent="0.25">
      <c r="A103" s="38"/>
      <c r="B103" s="299">
        <v>9.255295644685713E-3</v>
      </c>
      <c r="C103" s="300">
        <v>0</v>
      </c>
      <c r="D103" s="300">
        <v>4.1104277576607391E-4</v>
      </c>
      <c r="E103" s="306">
        <v>0.9865447102006577</v>
      </c>
      <c r="F103" s="300">
        <v>2.1447955481212525E-3</v>
      </c>
      <c r="G103" s="300">
        <v>1.6441558307704147E-3</v>
      </c>
      <c r="H103" s="301">
        <v>0</v>
      </c>
      <c r="I103" s="49" t="s">
        <v>54</v>
      </c>
    </row>
    <row r="104" spans="1:22" ht="17.100000000000001" customHeight="1" x14ac:dyDescent="0.25">
      <c r="A104" s="39" t="s">
        <v>6</v>
      </c>
      <c r="B104" s="302">
        <v>1.0447133510571421E-2</v>
      </c>
      <c r="C104" s="303">
        <v>0</v>
      </c>
      <c r="D104" s="303">
        <v>0</v>
      </c>
      <c r="E104" s="310">
        <v>0.98670607642541841</v>
      </c>
      <c r="F104" s="303">
        <v>1.9273990557234744E-3</v>
      </c>
      <c r="G104" s="303">
        <v>9.1939100828778027E-4</v>
      </c>
      <c r="H104" s="304">
        <v>0</v>
      </c>
      <c r="I104" s="50" t="s">
        <v>6</v>
      </c>
    </row>
    <row r="106" spans="1:22" ht="35.25" customHeight="1" x14ac:dyDescent="0.25">
      <c r="A106" s="1364" t="s">
        <v>707</v>
      </c>
      <c r="B106" s="1365"/>
      <c r="C106" s="1365"/>
      <c r="D106" s="1365"/>
      <c r="E106" s="1365"/>
      <c r="F106" s="1365"/>
      <c r="G106" s="1365"/>
      <c r="H106" s="1366"/>
      <c r="K106" s="1355" t="s">
        <v>489</v>
      </c>
      <c r="L106" s="1355"/>
      <c r="M106" s="1355"/>
      <c r="N106" s="1355"/>
      <c r="O106" s="1355"/>
      <c r="P106" s="1355"/>
      <c r="Q106" s="1355"/>
      <c r="R106" s="1355"/>
      <c r="S106" s="1355"/>
      <c r="T106" s="1355"/>
      <c r="U106" s="1355"/>
      <c r="V106" s="1355"/>
    </row>
    <row r="107" spans="1:22" ht="15.95" customHeight="1" x14ac:dyDescent="0.25">
      <c r="A107" s="1359"/>
      <c r="B107" s="34"/>
      <c r="C107" s="35"/>
      <c r="D107" s="35"/>
      <c r="E107" s="35"/>
      <c r="F107" s="35"/>
      <c r="G107" s="35"/>
      <c r="H107" s="36"/>
      <c r="I107" s="1353"/>
    </row>
    <row r="108" spans="1:22" ht="32.25" customHeight="1" x14ac:dyDescent="0.25">
      <c r="A108" s="1360"/>
      <c r="B108" s="293" t="s">
        <v>113</v>
      </c>
      <c r="C108" s="293" t="s">
        <v>114</v>
      </c>
      <c r="D108" s="294" t="s">
        <v>409</v>
      </c>
      <c r="E108" s="294" t="s">
        <v>410</v>
      </c>
      <c r="F108" s="294" t="s">
        <v>117</v>
      </c>
      <c r="G108" s="294" t="s">
        <v>411</v>
      </c>
      <c r="H108" s="295" t="s">
        <v>118</v>
      </c>
      <c r="I108" s="1354"/>
    </row>
    <row r="109" spans="1:22" ht="17.100000000000001" customHeight="1" x14ac:dyDescent="0.25">
      <c r="A109" s="37" t="s">
        <v>0</v>
      </c>
      <c r="B109" s="311">
        <v>3.4384337758537192E-3</v>
      </c>
      <c r="C109" s="312">
        <v>2.3931011284241922E-3</v>
      </c>
      <c r="D109" s="312">
        <v>4.8286594166770959E-4</v>
      </c>
      <c r="E109" s="313">
        <v>0.99121950752870314</v>
      </c>
      <c r="F109" s="312">
        <v>1.5122242739734593E-3</v>
      </c>
      <c r="G109" s="312">
        <v>9.5386735137751981E-4</v>
      </c>
      <c r="H109" s="314">
        <v>0</v>
      </c>
      <c r="I109" s="51" t="s">
        <v>0</v>
      </c>
    </row>
    <row r="110" spans="1:22" ht="17.100000000000001" customHeight="1" x14ac:dyDescent="0.25">
      <c r="A110" s="38"/>
      <c r="B110" s="315">
        <v>4.5870182601804119E-3</v>
      </c>
      <c r="C110" s="316">
        <v>2.3794727365944704E-3</v>
      </c>
      <c r="D110" s="316">
        <v>1.0162919871836977E-3</v>
      </c>
      <c r="E110" s="317">
        <v>0.99001740540783489</v>
      </c>
      <c r="F110" s="316">
        <v>1.7634200287003777E-3</v>
      </c>
      <c r="G110" s="316">
        <v>2.3639157950653881E-4</v>
      </c>
      <c r="H110" s="318">
        <v>0</v>
      </c>
      <c r="I110" s="53" t="s">
        <v>14</v>
      </c>
    </row>
    <row r="111" spans="1:22" ht="17.100000000000001" customHeight="1" x14ac:dyDescent="0.25">
      <c r="A111" s="38"/>
      <c r="B111" s="315">
        <v>1.3202640211718065E-2</v>
      </c>
      <c r="C111" s="316">
        <v>8.1121196383274769E-3</v>
      </c>
      <c r="D111" s="316">
        <v>4.6252998120727903E-3</v>
      </c>
      <c r="E111" s="317">
        <v>0.97115820018996113</v>
      </c>
      <c r="F111" s="316">
        <v>2.9017401479212264E-3</v>
      </c>
      <c r="G111" s="316">
        <v>0</v>
      </c>
      <c r="H111" s="318">
        <v>0</v>
      </c>
      <c r="I111" s="52" t="s">
        <v>15</v>
      </c>
    </row>
    <row r="112" spans="1:22" ht="17.100000000000001" customHeight="1" x14ac:dyDescent="0.25">
      <c r="A112" s="38"/>
      <c r="B112" s="315">
        <v>2.9766882595020711E-2</v>
      </c>
      <c r="C112" s="316">
        <v>1.2963055621011481E-2</v>
      </c>
      <c r="D112" s="316">
        <v>1.1192193503710384E-2</v>
      </c>
      <c r="E112" s="317">
        <v>0.93896851194345654</v>
      </c>
      <c r="F112" s="316">
        <v>5.9773138835157039E-3</v>
      </c>
      <c r="G112" s="316">
        <v>6.7650270910164702E-4</v>
      </c>
      <c r="H112" s="318">
        <v>4.5553974418352234E-4</v>
      </c>
      <c r="I112" s="49" t="s">
        <v>16</v>
      </c>
    </row>
    <row r="113" spans="1:9" ht="17.100000000000001" customHeight="1" x14ac:dyDescent="0.25">
      <c r="A113" s="38"/>
      <c r="B113" s="315">
        <v>5.7599664949761792E-2</v>
      </c>
      <c r="C113" s="316">
        <v>2.7747954533685754E-2</v>
      </c>
      <c r="D113" s="316">
        <v>1.3382339194229216E-2</v>
      </c>
      <c r="E113" s="317">
        <v>0.89154760456648896</v>
      </c>
      <c r="F113" s="316">
        <v>5.1001999106781767E-3</v>
      </c>
      <c r="G113" s="316">
        <v>3.9588809908133833E-3</v>
      </c>
      <c r="H113" s="318">
        <v>6.6335585434396604E-4</v>
      </c>
      <c r="I113" s="49" t="s">
        <v>17</v>
      </c>
    </row>
    <row r="114" spans="1:9" ht="17.100000000000001" customHeight="1" x14ac:dyDescent="0.25">
      <c r="A114" s="38"/>
      <c r="B114" s="315">
        <v>9.8295353910380107E-2</v>
      </c>
      <c r="C114" s="316">
        <v>4.6453043353457374E-2</v>
      </c>
      <c r="D114" s="316">
        <v>4.7715010835509108E-2</v>
      </c>
      <c r="E114" s="317">
        <v>0.79539329961008709</v>
      </c>
      <c r="F114" s="316">
        <v>8.414710059467076E-3</v>
      </c>
      <c r="G114" s="316">
        <v>3.0633551112175857E-3</v>
      </c>
      <c r="H114" s="318">
        <v>6.652271198839449E-4</v>
      </c>
      <c r="I114" s="49" t="s">
        <v>18</v>
      </c>
    </row>
    <row r="115" spans="1:9" ht="17.100000000000001" customHeight="1" x14ac:dyDescent="0.25">
      <c r="A115" s="38"/>
      <c r="B115" s="315">
        <v>0.14634084470806435</v>
      </c>
      <c r="C115" s="316">
        <v>0.10447074966078919</v>
      </c>
      <c r="D115" s="316">
        <v>6.1251676651874407E-2</v>
      </c>
      <c r="E115" s="317">
        <v>0.66576778016280724</v>
      </c>
      <c r="F115" s="316">
        <v>1.0135897084321005E-2</v>
      </c>
      <c r="G115" s="316">
        <v>9.6788950473278221E-3</v>
      </c>
      <c r="H115" s="318">
        <v>2.3541566848168821E-3</v>
      </c>
      <c r="I115" s="49" t="s">
        <v>19</v>
      </c>
    </row>
    <row r="116" spans="1:9" ht="17.100000000000001" customHeight="1" x14ac:dyDescent="0.25">
      <c r="A116" s="38"/>
      <c r="B116" s="315">
        <v>0.17858954941135777</v>
      </c>
      <c r="C116" s="316">
        <v>0.17489234988144203</v>
      </c>
      <c r="D116" s="319">
        <v>0.13810414309897043</v>
      </c>
      <c r="E116" s="317">
        <v>0.47386738036988019</v>
      </c>
      <c r="F116" s="316">
        <v>1.8415543821406834E-2</v>
      </c>
      <c r="G116" s="316">
        <v>1.4266193954145124E-2</v>
      </c>
      <c r="H116" s="318">
        <v>1.8648394628000117E-3</v>
      </c>
      <c r="I116" s="49" t="s">
        <v>20</v>
      </c>
    </row>
    <row r="117" spans="1:9" ht="17.100000000000001" customHeight="1" x14ac:dyDescent="0.25">
      <c r="A117" s="38" t="s">
        <v>1</v>
      </c>
      <c r="B117" s="320">
        <v>0.21964312871101313</v>
      </c>
      <c r="C117" s="321">
        <v>0.2238921198858172</v>
      </c>
      <c r="D117" s="319">
        <v>0.14880070530927764</v>
      </c>
      <c r="E117" s="317">
        <v>0.35678281572584053</v>
      </c>
      <c r="F117" s="316">
        <v>2.9166682053774654E-2</v>
      </c>
      <c r="G117" s="316">
        <v>1.5888612791322723E-2</v>
      </c>
      <c r="H117" s="318">
        <v>5.8259355229597666E-3</v>
      </c>
      <c r="I117" s="49" t="s">
        <v>1</v>
      </c>
    </row>
    <row r="118" spans="1:9" ht="17.100000000000001" customHeight="1" x14ac:dyDescent="0.25">
      <c r="A118" s="38"/>
      <c r="B118" s="320">
        <v>0.23137438001708477</v>
      </c>
      <c r="C118" s="321">
        <v>0.26873438697102453</v>
      </c>
      <c r="D118" s="319">
        <v>0.19071083019246765</v>
      </c>
      <c r="E118" s="317">
        <v>0.23541006439530121</v>
      </c>
      <c r="F118" s="316">
        <v>4.5348653112045272E-2</v>
      </c>
      <c r="G118" s="316">
        <v>2.4646268690704867E-2</v>
      </c>
      <c r="H118" s="318">
        <v>3.775416621377984E-3</v>
      </c>
      <c r="I118" s="49" t="s">
        <v>21</v>
      </c>
    </row>
    <row r="119" spans="1:9" ht="17.100000000000001" customHeight="1" x14ac:dyDescent="0.25">
      <c r="A119" s="38"/>
      <c r="B119" s="320">
        <v>0.22921357675942958</v>
      </c>
      <c r="C119" s="321">
        <v>0.2936868890034941</v>
      </c>
      <c r="D119" s="319">
        <v>0.21225032618109044</v>
      </c>
      <c r="E119" s="317">
        <v>0.17602227910748838</v>
      </c>
      <c r="F119" s="316">
        <v>5.6611973833581637E-2</v>
      </c>
      <c r="G119" s="316">
        <v>2.6105088072559991E-2</v>
      </c>
      <c r="H119" s="318">
        <v>6.1098670423613451E-3</v>
      </c>
      <c r="I119" s="49" t="s">
        <v>22</v>
      </c>
    </row>
    <row r="120" spans="1:9" ht="17.100000000000001" customHeight="1" x14ac:dyDescent="0.25">
      <c r="A120" s="38"/>
      <c r="B120" s="320">
        <v>0.24493230890478204</v>
      </c>
      <c r="C120" s="321">
        <v>0.32662179182918405</v>
      </c>
      <c r="D120" s="319">
        <v>0.18519389283952725</v>
      </c>
      <c r="E120" s="317">
        <v>0.12248353011971976</v>
      </c>
      <c r="F120" s="316">
        <v>8.1319905037939913E-2</v>
      </c>
      <c r="G120" s="316">
        <v>3.4149262959885726E-2</v>
      </c>
      <c r="H120" s="318">
        <v>5.2993083089668928E-3</v>
      </c>
      <c r="I120" s="49" t="s">
        <v>23</v>
      </c>
    </row>
    <row r="121" spans="1:9" ht="17.100000000000001" customHeight="1" x14ac:dyDescent="0.25">
      <c r="A121" s="71"/>
      <c r="B121" s="320">
        <v>0.20132686002834774</v>
      </c>
      <c r="C121" s="321">
        <v>0.3834307773724886</v>
      </c>
      <c r="D121" s="319">
        <v>0.18356975104059578</v>
      </c>
      <c r="E121" s="317">
        <v>8.2176116157927248E-2</v>
      </c>
      <c r="F121" s="317">
        <v>0.10729674822221112</v>
      </c>
      <c r="G121" s="316">
        <v>3.5760788063867309E-2</v>
      </c>
      <c r="H121" s="318">
        <v>6.4389591145673731E-3</v>
      </c>
      <c r="I121" s="49" t="s">
        <v>24</v>
      </c>
    </row>
    <row r="122" spans="1:9" ht="17.100000000000001" customHeight="1" x14ac:dyDescent="0.25">
      <c r="A122" s="38"/>
      <c r="B122" s="320">
        <v>0.24441040733047931</v>
      </c>
      <c r="C122" s="321">
        <v>0.38976734594144685</v>
      </c>
      <c r="D122" s="319">
        <v>0.13918023768399523</v>
      </c>
      <c r="E122" s="317">
        <v>4.923304250603952E-2</v>
      </c>
      <c r="F122" s="317">
        <v>0.12739554803873335</v>
      </c>
      <c r="G122" s="316">
        <v>4.6059114215640615E-2</v>
      </c>
      <c r="H122" s="318">
        <v>3.954304283669747E-3</v>
      </c>
      <c r="I122" s="49" t="s">
        <v>25</v>
      </c>
    </row>
    <row r="123" spans="1:9" ht="17.100000000000001" customHeight="1" x14ac:dyDescent="0.25">
      <c r="A123" s="38"/>
      <c r="B123" s="320">
        <v>0.25565464847928687</v>
      </c>
      <c r="C123" s="321">
        <v>0.38970877444598334</v>
      </c>
      <c r="D123" s="319">
        <v>9.9510812321577741E-2</v>
      </c>
      <c r="E123" s="317">
        <v>4.0839409199824178E-2</v>
      </c>
      <c r="F123" s="317">
        <v>0.16079606160684015</v>
      </c>
      <c r="G123" s="316">
        <v>4.718038058597003E-2</v>
      </c>
      <c r="H123" s="318">
        <v>6.3099133605224612E-3</v>
      </c>
      <c r="I123" s="49" t="s">
        <v>27</v>
      </c>
    </row>
    <row r="124" spans="1:9" ht="17.100000000000001" customHeight="1" x14ac:dyDescent="0.25">
      <c r="A124" s="38"/>
      <c r="B124" s="320">
        <v>0.27888386751570216</v>
      </c>
      <c r="C124" s="321">
        <v>0.40002551559250421</v>
      </c>
      <c r="D124" s="319">
        <v>6.7463916820474784E-2</v>
      </c>
      <c r="E124" s="317">
        <v>3.0622810784597984E-2</v>
      </c>
      <c r="F124" s="317">
        <v>0.16653794528738594</v>
      </c>
      <c r="G124" s="316">
        <v>5.0218474425168705E-2</v>
      </c>
      <c r="H124" s="318">
        <v>6.2474695741711909E-3</v>
      </c>
      <c r="I124" s="49" t="s">
        <v>26</v>
      </c>
    </row>
    <row r="125" spans="1:9" ht="17.100000000000001" customHeight="1" x14ac:dyDescent="0.25">
      <c r="A125" s="38" t="s">
        <v>2</v>
      </c>
      <c r="B125" s="320">
        <v>0.27910640181970164</v>
      </c>
      <c r="C125" s="316">
        <v>0.37842884758420259</v>
      </c>
      <c r="D125" s="319">
        <v>8.8369282814700689E-2</v>
      </c>
      <c r="E125" s="317">
        <v>2.8967317212585074E-2</v>
      </c>
      <c r="F125" s="317">
        <v>0.17275701698209603</v>
      </c>
      <c r="G125" s="316">
        <v>4.7329880175399082E-2</v>
      </c>
      <c r="H125" s="318">
        <v>5.0412534113201428E-3</v>
      </c>
      <c r="I125" s="49" t="s">
        <v>2</v>
      </c>
    </row>
    <row r="126" spans="1:9" ht="17.100000000000001" customHeight="1" x14ac:dyDescent="0.25">
      <c r="A126" s="38"/>
      <c r="B126" s="320">
        <v>0.30007581119901999</v>
      </c>
      <c r="C126" s="316">
        <v>0.36986208889129185</v>
      </c>
      <c r="D126" s="319">
        <v>7.2451565955222383E-2</v>
      </c>
      <c r="E126" s="317">
        <v>2.86230538030521E-2</v>
      </c>
      <c r="F126" s="317">
        <v>0.17352391029327074</v>
      </c>
      <c r="G126" s="316">
        <v>5.2178123994322763E-2</v>
      </c>
      <c r="H126" s="318">
        <v>3.2854458638252697E-3</v>
      </c>
      <c r="I126" s="49" t="s">
        <v>28</v>
      </c>
    </row>
    <row r="127" spans="1:9" ht="17.100000000000001" customHeight="1" x14ac:dyDescent="0.25">
      <c r="A127" s="38"/>
      <c r="B127" s="320">
        <v>0.27167416455785881</v>
      </c>
      <c r="C127" s="316">
        <v>0.34145719503246513</v>
      </c>
      <c r="D127" s="319">
        <v>0.1216397550559052</v>
      </c>
      <c r="E127" s="317">
        <v>3.3973297539124384E-2</v>
      </c>
      <c r="F127" s="317">
        <v>0.18425522517440862</v>
      </c>
      <c r="G127" s="316">
        <v>4.3416545378280859E-2</v>
      </c>
      <c r="H127" s="318">
        <v>3.5838172619626742E-3</v>
      </c>
      <c r="I127" s="49" t="s">
        <v>29</v>
      </c>
    </row>
    <row r="128" spans="1:9" ht="17.100000000000001" customHeight="1" x14ac:dyDescent="0.25">
      <c r="A128" s="38"/>
      <c r="B128" s="320">
        <v>0.27980545016014524</v>
      </c>
      <c r="C128" s="316">
        <v>0.34092589205038093</v>
      </c>
      <c r="D128" s="319">
        <v>0.10210075258787774</v>
      </c>
      <c r="E128" s="317">
        <v>2.9157620522282626E-2</v>
      </c>
      <c r="F128" s="317">
        <v>0.19725661102223888</v>
      </c>
      <c r="G128" s="316">
        <v>4.7145399156564939E-2</v>
      </c>
      <c r="H128" s="318">
        <v>3.6082745005154094E-3</v>
      </c>
      <c r="I128" s="49" t="s">
        <v>30</v>
      </c>
    </row>
    <row r="129" spans="1:9" ht="17.100000000000001" customHeight="1" x14ac:dyDescent="0.25">
      <c r="A129" s="38"/>
      <c r="B129" s="320">
        <v>0.26852306716973828</v>
      </c>
      <c r="C129" s="316">
        <v>0.30008372047313137</v>
      </c>
      <c r="D129" s="319">
        <v>0.16283088090275452</v>
      </c>
      <c r="E129" s="317">
        <v>3.4392506805512535E-2</v>
      </c>
      <c r="F129" s="317">
        <v>0.18954018478019197</v>
      </c>
      <c r="G129" s="316">
        <v>4.0733582359752087E-2</v>
      </c>
      <c r="H129" s="318">
        <v>3.896057508924672E-3</v>
      </c>
      <c r="I129" s="49" t="s">
        <v>31</v>
      </c>
    </row>
    <row r="130" spans="1:9" ht="17.100000000000001" customHeight="1" x14ac:dyDescent="0.25">
      <c r="A130" s="38"/>
      <c r="B130" s="320">
        <v>0.25079341244310316</v>
      </c>
      <c r="C130" s="316">
        <v>0.2896205873542877</v>
      </c>
      <c r="D130" s="319">
        <v>0.17192760982752714</v>
      </c>
      <c r="E130" s="317">
        <v>3.1151625644171389E-2</v>
      </c>
      <c r="F130" s="317">
        <v>0.20518255336669416</v>
      </c>
      <c r="G130" s="316">
        <v>4.6283861450240008E-2</v>
      </c>
      <c r="H130" s="318">
        <v>5.0403499139815436E-3</v>
      </c>
      <c r="I130" s="49" t="s">
        <v>32</v>
      </c>
    </row>
    <row r="131" spans="1:9" ht="17.100000000000001" customHeight="1" x14ac:dyDescent="0.25">
      <c r="A131" s="38"/>
      <c r="B131" s="320">
        <v>0.22758308329969726</v>
      </c>
      <c r="C131" s="316">
        <v>0.24659184935663628</v>
      </c>
      <c r="D131" s="319">
        <v>0.18305991767233107</v>
      </c>
      <c r="E131" s="317">
        <v>4.0005213576397025E-2</v>
      </c>
      <c r="F131" s="317">
        <v>0.23873166115471139</v>
      </c>
      <c r="G131" s="316">
        <v>6.2154258059025566E-2</v>
      </c>
      <c r="H131" s="318">
        <v>1.8740168812073719E-3</v>
      </c>
      <c r="I131" s="49" t="s">
        <v>33</v>
      </c>
    </row>
    <row r="132" spans="1:9" ht="17.100000000000001" customHeight="1" x14ac:dyDescent="0.25">
      <c r="A132" s="38"/>
      <c r="B132" s="315">
        <v>0.18323620305329003</v>
      </c>
      <c r="C132" s="316">
        <v>0.24294584897848298</v>
      </c>
      <c r="D132" s="319">
        <v>0.18762250953832443</v>
      </c>
      <c r="E132" s="317">
        <v>3.9999082206084537E-2</v>
      </c>
      <c r="F132" s="317">
        <v>0.2729282964277569</v>
      </c>
      <c r="G132" s="316">
        <v>7.2177048512033951E-2</v>
      </c>
      <c r="H132" s="318">
        <v>1.0910112840329803E-3</v>
      </c>
      <c r="I132" s="49" t="s">
        <v>34</v>
      </c>
    </row>
    <row r="133" spans="1:9" ht="17.100000000000001" customHeight="1" x14ac:dyDescent="0.25">
      <c r="A133" s="38" t="s">
        <v>3</v>
      </c>
      <c r="B133" s="315">
        <v>0.15415482382844112</v>
      </c>
      <c r="C133" s="316">
        <v>0.25560733567170507</v>
      </c>
      <c r="D133" s="319">
        <v>0.13817060881814713</v>
      </c>
      <c r="E133" s="317">
        <v>5.760159609468795E-2</v>
      </c>
      <c r="F133" s="317">
        <v>0.29503494813654058</v>
      </c>
      <c r="G133" s="316">
        <v>9.7004771076678487E-2</v>
      </c>
      <c r="H133" s="318">
        <v>2.4259163738056476E-3</v>
      </c>
      <c r="I133" s="49" t="s">
        <v>3</v>
      </c>
    </row>
    <row r="134" spans="1:9" ht="17.100000000000001" customHeight="1" x14ac:dyDescent="0.25">
      <c r="A134" s="38"/>
      <c r="B134" s="315">
        <v>0.12970449467652492</v>
      </c>
      <c r="C134" s="316">
        <v>0.24113466199795941</v>
      </c>
      <c r="D134" s="319">
        <v>0.14205853046097483</v>
      </c>
      <c r="E134" s="317">
        <v>5.778054072568236E-2</v>
      </c>
      <c r="F134" s="317">
        <v>0.32046953965996783</v>
      </c>
      <c r="G134" s="316">
        <v>0.10586345176715346</v>
      </c>
      <c r="H134" s="318">
        <v>2.9887807117429162E-3</v>
      </c>
      <c r="I134" s="49" t="s">
        <v>35</v>
      </c>
    </row>
    <row r="135" spans="1:9" ht="17.100000000000001" customHeight="1" x14ac:dyDescent="0.25">
      <c r="A135" s="38"/>
      <c r="B135" s="315">
        <v>0.11663446026227801</v>
      </c>
      <c r="C135" s="316">
        <v>0.26462370741741642</v>
      </c>
      <c r="D135" s="319">
        <v>0.14175757228573613</v>
      </c>
      <c r="E135" s="317">
        <v>4.9792473587056858E-2</v>
      </c>
      <c r="F135" s="317">
        <v>0.32204415015797561</v>
      </c>
      <c r="G135" s="316">
        <v>0.10217549031866953</v>
      </c>
      <c r="H135" s="318">
        <v>2.9721459708734708E-3</v>
      </c>
      <c r="I135" s="49" t="s">
        <v>36</v>
      </c>
    </row>
    <row r="136" spans="1:9" ht="17.100000000000001" customHeight="1" x14ac:dyDescent="0.25">
      <c r="A136" s="38"/>
      <c r="B136" s="315">
        <v>0.10681189036092963</v>
      </c>
      <c r="C136" s="316">
        <v>0.25081509901788968</v>
      </c>
      <c r="D136" s="319">
        <v>0.13143579707892189</v>
      </c>
      <c r="E136" s="317">
        <v>4.7259028610763899E-2</v>
      </c>
      <c r="F136" s="317">
        <v>0.33856509006900171</v>
      </c>
      <c r="G136" s="316">
        <v>0.12250835945163421</v>
      </c>
      <c r="H136" s="318">
        <v>2.6047354108644331E-3</v>
      </c>
      <c r="I136" s="49" t="s">
        <v>37</v>
      </c>
    </row>
    <row r="137" spans="1:9" ht="17.100000000000001" customHeight="1" x14ac:dyDescent="0.25">
      <c r="A137" s="38"/>
      <c r="B137" s="315">
        <v>8.5249761388639558E-2</v>
      </c>
      <c r="C137" s="316">
        <v>0.27155218747237003</v>
      </c>
      <c r="D137" s="319">
        <v>0.12075905695946715</v>
      </c>
      <c r="E137" s="317">
        <v>4.0587618304125848E-2</v>
      </c>
      <c r="F137" s="317">
        <v>0.3375150217727193</v>
      </c>
      <c r="G137" s="316">
        <v>0.14104464441224776</v>
      </c>
      <c r="H137" s="318">
        <v>3.2917096904362718E-3</v>
      </c>
      <c r="I137" s="49" t="s">
        <v>38</v>
      </c>
    </row>
    <row r="138" spans="1:9" ht="17.100000000000001" customHeight="1" x14ac:dyDescent="0.25">
      <c r="A138" s="38"/>
      <c r="B138" s="315">
        <v>8.3793220404256546E-2</v>
      </c>
      <c r="C138" s="316">
        <v>0.26315473216782509</v>
      </c>
      <c r="D138" s="319">
        <v>0.11913292336788148</v>
      </c>
      <c r="E138" s="317">
        <v>4.0969844778020154E-2</v>
      </c>
      <c r="F138" s="317">
        <v>0.33294699672928935</v>
      </c>
      <c r="G138" s="316">
        <v>0.15681065384171478</v>
      </c>
      <c r="H138" s="318">
        <v>3.1916287110181755E-3</v>
      </c>
      <c r="I138" s="49" t="s">
        <v>39</v>
      </c>
    </row>
    <row r="139" spans="1:9" ht="17.100000000000001" customHeight="1" x14ac:dyDescent="0.25">
      <c r="A139" s="38"/>
      <c r="B139" s="315">
        <v>6.6867845479167479E-2</v>
      </c>
      <c r="C139" s="316">
        <v>0.23831444268196286</v>
      </c>
      <c r="D139" s="319">
        <v>0.1525288317438393</v>
      </c>
      <c r="E139" s="317">
        <v>4.4206008899337498E-2</v>
      </c>
      <c r="F139" s="317">
        <v>0.23201799642147608</v>
      </c>
      <c r="G139" s="316">
        <v>0.26319084059431413</v>
      </c>
      <c r="H139" s="318">
        <v>2.8740341799084889E-3</v>
      </c>
      <c r="I139" s="49" t="s">
        <v>40</v>
      </c>
    </row>
    <row r="140" spans="1:9" ht="17.100000000000001" customHeight="1" x14ac:dyDescent="0.25">
      <c r="A140" s="38"/>
      <c r="B140" s="315">
        <v>5.7792106077937874E-2</v>
      </c>
      <c r="C140" s="317">
        <v>0.23265088186315752</v>
      </c>
      <c r="D140" s="319">
        <v>0.16088424733169571</v>
      </c>
      <c r="E140" s="317">
        <v>4.5582656988541546E-2</v>
      </c>
      <c r="F140" s="317">
        <v>0.21757556627214783</v>
      </c>
      <c r="G140" s="316">
        <v>0.28337765740099768</v>
      </c>
      <c r="H140" s="318">
        <v>2.1368840655278782E-3</v>
      </c>
      <c r="I140" s="49" t="s">
        <v>41</v>
      </c>
    </row>
    <row r="141" spans="1:9" ht="17.100000000000001" customHeight="1" x14ac:dyDescent="0.25">
      <c r="A141" s="38" t="s">
        <v>4</v>
      </c>
      <c r="B141" s="315">
        <v>5.2660786353047849E-2</v>
      </c>
      <c r="C141" s="316">
        <v>0.19382031901385693</v>
      </c>
      <c r="D141" s="319">
        <v>0.17637609373069124</v>
      </c>
      <c r="E141" s="317">
        <v>5.2707284541582536E-2</v>
      </c>
      <c r="F141" s="317">
        <v>0.18109006726498772</v>
      </c>
      <c r="G141" s="316">
        <v>0.34056954906223674</v>
      </c>
      <c r="H141" s="318">
        <v>2.7759000336023115E-3</v>
      </c>
      <c r="I141" s="49" t="s">
        <v>4</v>
      </c>
    </row>
    <row r="142" spans="1:9" ht="17.100000000000001" customHeight="1" x14ac:dyDescent="0.25">
      <c r="A142" s="38"/>
      <c r="B142" s="315">
        <v>4.8605118852537682E-2</v>
      </c>
      <c r="C142" s="316">
        <v>0.16870977906377305</v>
      </c>
      <c r="D142" s="319">
        <v>0.10526312285015876</v>
      </c>
      <c r="E142" s="317">
        <v>5.9946566371462368E-2</v>
      </c>
      <c r="F142" s="317">
        <v>0.18528158576893169</v>
      </c>
      <c r="G142" s="316">
        <v>0.42809843264612274</v>
      </c>
      <c r="H142" s="318">
        <v>4.0953944470186344E-3</v>
      </c>
      <c r="I142" s="49" t="s">
        <v>43</v>
      </c>
    </row>
    <row r="143" spans="1:9" ht="17.100000000000001" customHeight="1" x14ac:dyDescent="0.25">
      <c r="A143" s="38"/>
      <c r="B143" s="315">
        <v>4.03465313037999E-2</v>
      </c>
      <c r="C143" s="316">
        <v>0.12814309211505234</v>
      </c>
      <c r="D143" s="319">
        <v>6.3002475410823225E-2</v>
      </c>
      <c r="E143" s="317">
        <v>0.12388586105754543</v>
      </c>
      <c r="F143" s="317">
        <v>0.16948254390284062</v>
      </c>
      <c r="G143" s="316">
        <v>0.47299345229087764</v>
      </c>
      <c r="H143" s="318">
        <v>2.146043919064681E-3</v>
      </c>
      <c r="I143" s="49" t="s">
        <v>42</v>
      </c>
    </row>
    <row r="144" spans="1:9" ht="17.100000000000001" customHeight="1" x14ac:dyDescent="0.25">
      <c r="A144" s="38"/>
      <c r="B144" s="315">
        <v>4.3526645655389974E-2</v>
      </c>
      <c r="C144" s="316">
        <v>9.6408663008003159E-2</v>
      </c>
      <c r="D144" s="319">
        <v>3.2032648298942847E-2</v>
      </c>
      <c r="E144" s="317">
        <v>0.15640551605544831</v>
      </c>
      <c r="F144" s="317">
        <v>0.15807285298516893</v>
      </c>
      <c r="G144" s="316">
        <v>0.51013836193869344</v>
      </c>
      <c r="H144" s="318">
        <v>3.4153120583561569E-3</v>
      </c>
      <c r="I144" s="49" t="s">
        <v>44</v>
      </c>
    </row>
    <row r="145" spans="1:9" ht="17.100000000000001" customHeight="1" x14ac:dyDescent="0.25">
      <c r="A145" s="38"/>
      <c r="B145" s="315">
        <v>3.6632390889266744E-2</v>
      </c>
      <c r="C145" s="316">
        <v>6.7194292518292315E-2</v>
      </c>
      <c r="D145" s="319">
        <v>1.2304156714876821E-2</v>
      </c>
      <c r="E145" s="317">
        <v>0.4101793851498865</v>
      </c>
      <c r="F145" s="316">
        <v>0.13925764488439207</v>
      </c>
      <c r="G145" s="316">
        <v>0.33118436403710755</v>
      </c>
      <c r="H145" s="318">
        <v>3.2477658061829343E-3</v>
      </c>
      <c r="I145" s="49" t="s">
        <v>45</v>
      </c>
    </row>
    <row r="146" spans="1:9" ht="17.100000000000001" customHeight="1" x14ac:dyDescent="0.25">
      <c r="A146" s="38"/>
      <c r="B146" s="315">
        <v>2.4401724320699932E-2</v>
      </c>
      <c r="C146" s="316">
        <v>3.9578476579133957E-2</v>
      </c>
      <c r="D146" s="316">
        <v>1.2534345831037115E-2</v>
      </c>
      <c r="E146" s="317">
        <v>0.50625136124715298</v>
      </c>
      <c r="F146" s="316">
        <v>0.12233125768777174</v>
      </c>
      <c r="G146" s="316">
        <v>0.29166346502245144</v>
      </c>
      <c r="H146" s="318">
        <v>3.2393693117580796E-3</v>
      </c>
      <c r="I146" s="49" t="s">
        <v>46</v>
      </c>
    </row>
    <row r="147" spans="1:9" ht="17.100000000000001" customHeight="1" x14ac:dyDescent="0.25">
      <c r="A147" s="38"/>
      <c r="B147" s="315">
        <v>2.1231473874823895E-2</v>
      </c>
      <c r="C147" s="316">
        <v>2.3677067070688677E-2</v>
      </c>
      <c r="D147" s="316">
        <v>5.0848412176717032E-3</v>
      </c>
      <c r="E147" s="317">
        <v>0.71777308475444068</v>
      </c>
      <c r="F147" s="316">
        <v>8.6148451402079634E-2</v>
      </c>
      <c r="G147" s="316">
        <v>0.14573298518414843</v>
      </c>
      <c r="H147" s="318">
        <v>3.5209649615038302E-4</v>
      </c>
      <c r="I147" s="49" t="s">
        <v>47</v>
      </c>
    </row>
    <row r="148" spans="1:9" ht="17.100000000000001" customHeight="1" x14ac:dyDescent="0.25">
      <c r="A148" s="38"/>
      <c r="B148" s="315">
        <v>1.5537475010732518E-2</v>
      </c>
      <c r="C148" s="316">
        <v>1.2609380034232984E-2</v>
      </c>
      <c r="D148" s="316">
        <v>3.8235929477470672E-3</v>
      </c>
      <c r="E148" s="317">
        <v>0.80895666052485604</v>
      </c>
      <c r="F148" s="316">
        <v>6.644115279652997E-2</v>
      </c>
      <c r="G148" s="316">
        <v>9.1494058844910076E-2</v>
      </c>
      <c r="H148" s="318">
        <v>1.137679840994257E-3</v>
      </c>
      <c r="I148" s="49" t="s">
        <v>48</v>
      </c>
    </row>
    <row r="149" spans="1:9" ht="17.100000000000001" customHeight="1" x14ac:dyDescent="0.25">
      <c r="A149" s="38" t="s">
        <v>5</v>
      </c>
      <c r="B149" s="315">
        <v>8.4551571773402463E-3</v>
      </c>
      <c r="C149" s="316">
        <v>4.7196192292708857E-3</v>
      </c>
      <c r="D149" s="316">
        <v>7.5933938691049858E-4</v>
      </c>
      <c r="E149" s="317">
        <v>0.91725335462328705</v>
      </c>
      <c r="F149" s="316">
        <v>3.6183506092327795E-2</v>
      </c>
      <c r="G149" s="316">
        <v>3.1091675219340004E-2</v>
      </c>
      <c r="H149" s="318">
        <v>1.5373482715239778E-3</v>
      </c>
      <c r="I149" s="49" t="s">
        <v>5</v>
      </c>
    </row>
    <row r="150" spans="1:9" ht="17.100000000000001" customHeight="1" x14ac:dyDescent="0.25">
      <c r="A150" s="38"/>
      <c r="B150" s="315">
        <v>6.1393596419967158E-3</v>
      </c>
      <c r="C150" s="316">
        <v>4.0428483686246785E-3</v>
      </c>
      <c r="D150" s="316">
        <v>7.4119337617003091E-4</v>
      </c>
      <c r="E150" s="317">
        <v>0.9554557428976771</v>
      </c>
      <c r="F150" s="316">
        <v>1.5449787498562642E-2</v>
      </c>
      <c r="G150" s="316">
        <v>1.6871816223243782E-2</v>
      </c>
      <c r="H150" s="318">
        <v>1.2992519937255692E-3</v>
      </c>
      <c r="I150" s="49" t="s">
        <v>49</v>
      </c>
    </row>
    <row r="151" spans="1:9" ht="17.100000000000001" customHeight="1" x14ac:dyDescent="0.25">
      <c r="A151" s="38"/>
      <c r="B151" s="315">
        <v>2.3263683251973787E-3</v>
      </c>
      <c r="C151" s="316">
        <v>2.0120442988733785E-3</v>
      </c>
      <c r="D151" s="316">
        <v>2.7817521095920315E-4</v>
      </c>
      <c r="E151" s="317">
        <v>0.9812453101257339</v>
      </c>
      <c r="F151" s="316">
        <v>7.584240064369769E-3</v>
      </c>
      <c r="G151" s="316">
        <v>6.5538619748671725E-3</v>
      </c>
      <c r="H151" s="318">
        <v>0</v>
      </c>
      <c r="I151" s="49" t="s">
        <v>50</v>
      </c>
    </row>
    <row r="152" spans="1:9" ht="17.100000000000001" customHeight="1" x14ac:dyDescent="0.25">
      <c r="A152" s="38"/>
      <c r="B152" s="315">
        <v>2.3263683251973787E-3</v>
      </c>
      <c r="C152" s="316">
        <v>2.3094016751848269E-3</v>
      </c>
      <c r="D152" s="316">
        <v>1.5440015024014317E-4</v>
      </c>
      <c r="E152" s="317">
        <v>0.98562302482300201</v>
      </c>
      <c r="F152" s="316">
        <v>4.1464745037521943E-3</v>
      </c>
      <c r="G152" s="316">
        <v>5.4403305226243294E-3</v>
      </c>
      <c r="H152" s="318">
        <v>0</v>
      </c>
      <c r="I152" s="49" t="s">
        <v>51</v>
      </c>
    </row>
    <row r="153" spans="1:9" ht="17.100000000000001" customHeight="1" x14ac:dyDescent="0.25">
      <c r="A153" s="38"/>
      <c r="B153" s="315">
        <v>1.7158817305221836E-3</v>
      </c>
      <c r="C153" s="316">
        <v>1.9764652367096612E-3</v>
      </c>
      <c r="D153" s="316">
        <v>1.5440015024014317E-4</v>
      </c>
      <c r="E153" s="317">
        <v>0.99174618632467348</v>
      </c>
      <c r="F153" s="316">
        <v>3.3166797261248385E-3</v>
      </c>
      <c r="G153" s="316">
        <v>1.0903868317302286E-3</v>
      </c>
      <c r="H153" s="318">
        <v>0</v>
      </c>
      <c r="I153" s="49" t="s">
        <v>52</v>
      </c>
    </row>
    <row r="154" spans="1:9" ht="17.100000000000001" customHeight="1" x14ac:dyDescent="0.25">
      <c r="A154" s="38"/>
      <c r="B154" s="315">
        <v>1.1220421007024212E-3</v>
      </c>
      <c r="C154" s="316">
        <v>8.5076518912321976E-4</v>
      </c>
      <c r="D154" s="316">
        <v>1.5440015024014317E-4</v>
      </c>
      <c r="E154" s="317">
        <v>0.99387247596434658</v>
      </c>
      <c r="F154" s="316">
        <v>2.5584942020526443E-3</v>
      </c>
      <c r="G154" s="316">
        <v>8.4798276371505739E-4</v>
      </c>
      <c r="H154" s="318">
        <v>5.9383962981976229E-4</v>
      </c>
      <c r="I154" s="49" t="s">
        <v>53</v>
      </c>
    </row>
    <row r="155" spans="1:9" ht="17.100000000000001" customHeight="1" x14ac:dyDescent="0.25">
      <c r="A155" s="38"/>
      <c r="B155" s="315">
        <v>1.1220421007024212E-3</v>
      </c>
      <c r="C155" s="316">
        <v>7.4925360122719982E-4</v>
      </c>
      <c r="D155" s="316">
        <v>1.6472269767132082E-4</v>
      </c>
      <c r="E155" s="317">
        <v>0.99579433659682592</v>
      </c>
      <c r="F155" s="316">
        <v>1.696072313229918E-3</v>
      </c>
      <c r="G155" s="316">
        <v>4.7357269034331416E-4</v>
      </c>
      <c r="H155" s="318">
        <v>0</v>
      </c>
      <c r="I155" s="49" t="s">
        <v>54</v>
      </c>
    </row>
    <row r="156" spans="1:9" ht="17.100000000000001" customHeight="1" x14ac:dyDescent="0.25">
      <c r="A156" s="39" t="s">
        <v>6</v>
      </c>
      <c r="B156" s="322">
        <v>1.1220421007024212E-3</v>
      </c>
      <c r="C156" s="323">
        <v>1.1633017542183638E-3</v>
      </c>
      <c r="D156" s="323">
        <v>1.6472269767132082E-4</v>
      </c>
      <c r="E156" s="324">
        <v>0.9955257308846438</v>
      </c>
      <c r="F156" s="323">
        <v>1.7930339404359868E-3</v>
      </c>
      <c r="G156" s="323">
        <v>2.3116862232814298E-4</v>
      </c>
      <c r="H156" s="325">
        <v>0</v>
      </c>
      <c r="I156" s="50" t="s">
        <v>6</v>
      </c>
    </row>
    <row r="158" spans="1:9" ht="21" customHeight="1" x14ac:dyDescent="0.25">
      <c r="A158" s="1368" t="s">
        <v>701</v>
      </c>
      <c r="B158" s="1365"/>
      <c r="C158" s="1365"/>
      <c r="D158" s="1365"/>
      <c r="E158" s="1365"/>
      <c r="F158" s="1365"/>
      <c r="G158" s="1365"/>
      <c r="H158" s="1366"/>
    </row>
    <row r="159" spans="1:9" ht="15.95" customHeight="1" x14ac:dyDescent="0.25">
      <c r="A159" s="1359"/>
      <c r="B159" s="34"/>
      <c r="C159" s="35"/>
      <c r="D159" s="35"/>
      <c r="E159" s="35"/>
      <c r="F159" s="35"/>
      <c r="G159" s="35"/>
      <c r="H159" s="36"/>
      <c r="I159" s="1353"/>
    </row>
    <row r="160" spans="1:9" ht="33" customHeight="1" x14ac:dyDescent="0.25">
      <c r="A160" s="1360"/>
      <c r="B160" s="293" t="s">
        <v>113</v>
      </c>
      <c r="C160" s="293" t="s">
        <v>114</v>
      </c>
      <c r="D160" s="294" t="s">
        <v>409</v>
      </c>
      <c r="E160" s="294" t="s">
        <v>410</v>
      </c>
      <c r="F160" s="294" t="s">
        <v>117</v>
      </c>
      <c r="G160" s="294" t="s">
        <v>411</v>
      </c>
      <c r="H160" s="295" t="s">
        <v>118</v>
      </c>
      <c r="I160" s="1354"/>
    </row>
    <row r="161" spans="1:9" ht="17.100000000000001" customHeight="1" x14ac:dyDescent="0.25">
      <c r="A161" s="37" t="s">
        <v>0</v>
      </c>
      <c r="B161" s="296">
        <v>9.5671593085955662E-3</v>
      </c>
      <c r="C161" s="297">
        <v>1.527753753119921E-3</v>
      </c>
      <c r="D161" s="297">
        <v>7.246497678127169E-4</v>
      </c>
      <c r="E161" s="297">
        <v>0.98605420069016414</v>
      </c>
      <c r="F161" s="297">
        <v>1.1886054979663599E-3</v>
      </c>
      <c r="G161" s="297">
        <v>5.6486058857739714E-4</v>
      </c>
      <c r="H161" s="298">
        <v>3.7277039376381037E-4</v>
      </c>
      <c r="I161" s="51" t="s">
        <v>0</v>
      </c>
    </row>
    <row r="162" spans="1:9" ht="17.100000000000001" customHeight="1" x14ac:dyDescent="0.25">
      <c r="A162" s="38"/>
      <c r="B162" s="299">
        <v>1.2204177087225621E-2</v>
      </c>
      <c r="C162" s="300">
        <v>1.7307675289540824E-3</v>
      </c>
      <c r="D162" s="300">
        <v>1.4691933119673868E-3</v>
      </c>
      <c r="E162" s="300">
        <v>0.98350714293439612</v>
      </c>
      <c r="F162" s="300">
        <v>3.2681333592004809E-4</v>
      </c>
      <c r="G162" s="300">
        <v>3.8913540777272827E-4</v>
      </c>
      <c r="H162" s="301">
        <v>3.7277039376381037E-4</v>
      </c>
      <c r="I162" s="53" t="s">
        <v>14</v>
      </c>
    </row>
    <row r="163" spans="1:9" ht="17.100000000000001" customHeight="1" x14ac:dyDescent="0.25">
      <c r="A163" s="38"/>
      <c r="B163" s="299">
        <v>2.2189156992611418E-2</v>
      </c>
      <c r="C163" s="300">
        <v>7.0487220317183921E-3</v>
      </c>
      <c r="D163" s="300">
        <v>5.826166247445229E-3</v>
      </c>
      <c r="E163" s="300">
        <v>0.96286504731358358</v>
      </c>
      <c r="F163" s="300">
        <v>1.7071200135812599E-3</v>
      </c>
      <c r="G163" s="300">
        <v>3.6378740106021967E-4</v>
      </c>
      <c r="H163" s="301">
        <v>0</v>
      </c>
      <c r="I163" s="52" t="s">
        <v>15</v>
      </c>
    </row>
    <row r="164" spans="1:9" ht="17.100000000000001" customHeight="1" x14ac:dyDescent="0.25">
      <c r="A164" s="38"/>
      <c r="B164" s="299">
        <v>4.7809811992880175E-2</v>
      </c>
      <c r="C164" s="300">
        <v>1.3618451725100754E-2</v>
      </c>
      <c r="D164" s="300">
        <v>1.4251515580196496E-2</v>
      </c>
      <c r="E164" s="300">
        <v>0.9180075594577517</v>
      </c>
      <c r="F164" s="300">
        <v>4.8604213426105174E-3</v>
      </c>
      <c r="G164" s="300">
        <v>1.1220069785319049E-3</v>
      </c>
      <c r="H164" s="301">
        <v>3.3023292292830677E-4</v>
      </c>
      <c r="I164" s="49" t="s">
        <v>16</v>
      </c>
    </row>
    <row r="165" spans="1:9" ht="17.100000000000001" customHeight="1" x14ac:dyDescent="0.25">
      <c r="A165" s="38"/>
      <c r="B165" s="299">
        <v>8.6960857369155667E-2</v>
      </c>
      <c r="C165" s="300">
        <v>2.4620310662930033E-2</v>
      </c>
      <c r="D165" s="300">
        <v>1.8118366778901159E-2</v>
      </c>
      <c r="E165" s="300">
        <v>0.8594732345802707</v>
      </c>
      <c r="F165" s="300">
        <v>5.7376525109997731E-3</v>
      </c>
      <c r="G165" s="300">
        <v>3.8576576046415369E-3</v>
      </c>
      <c r="H165" s="301">
        <v>1.2319204931020553E-3</v>
      </c>
      <c r="I165" s="49" t="s">
        <v>17</v>
      </c>
    </row>
    <row r="166" spans="1:9" ht="17.100000000000001" customHeight="1" x14ac:dyDescent="0.25">
      <c r="A166" s="38"/>
      <c r="B166" s="299">
        <v>0.15323234208550723</v>
      </c>
      <c r="C166" s="300">
        <v>4.3162687350638641E-2</v>
      </c>
      <c r="D166" s="300">
        <v>5.5664009449615408E-2</v>
      </c>
      <c r="E166" s="300">
        <v>0.73537950314160372</v>
      </c>
      <c r="F166" s="300">
        <v>7.0370054884194436E-3</v>
      </c>
      <c r="G166" s="300">
        <v>4.7877784587004642E-3</v>
      </c>
      <c r="H166" s="301">
        <v>7.3667402551607893E-4</v>
      </c>
      <c r="I166" s="49" t="s">
        <v>18</v>
      </c>
    </row>
    <row r="167" spans="1:9" ht="17.100000000000001" customHeight="1" x14ac:dyDescent="0.25">
      <c r="A167" s="38"/>
      <c r="B167" s="299">
        <v>0.22962042620862155</v>
      </c>
      <c r="C167" s="300">
        <v>8.8994178060914045E-2</v>
      </c>
      <c r="D167" s="300">
        <v>6.5562001109769549E-2</v>
      </c>
      <c r="E167" s="300">
        <v>0.59010005142131783</v>
      </c>
      <c r="F167" s="300">
        <v>1.0639546907055437E-2</v>
      </c>
      <c r="G167" s="300">
        <v>1.2611337044820085E-2</v>
      </c>
      <c r="H167" s="301">
        <v>2.4724592475001326E-3</v>
      </c>
      <c r="I167" s="49" t="s">
        <v>19</v>
      </c>
    </row>
    <row r="168" spans="1:9" ht="17.100000000000001" customHeight="1" x14ac:dyDescent="0.25">
      <c r="A168" s="38"/>
      <c r="B168" s="299">
        <v>0.28938490938378314</v>
      </c>
      <c r="C168" s="300">
        <v>0.13506699530177771</v>
      </c>
      <c r="D168" s="300">
        <v>0.13403929874403761</v>
      </c>
      <c r="E168" s="300">
        <v>0.39925239511462102</v>
      </c>
      <c r="F168" s="300">
        <v>2.3615695241675332E-2</v>
      </c>
      <c r="G168" s="300">
        <v>1.6558042388110407E-2</v>
      </c>
      <c r="H168" s="301">
        <v>2.0826638259935737E-3</v>
      </c>
      <c r="I168" s="49" t="s">
        <v>20</v>
      </c>
    </row>
    <row r="169" spans="1:9" ht="17.100000000000001" customHeight="1" x14ac:dyDescent="0.25">
      <c r="A169" s="38" t="s">
        <v>1</v>
      </c>
      <c r="B169" s="299">
        <v>0.34694592663647222</v>
      </c>
      <c r="C169" s="300">
        <v>0.17282837996728589</v>
      </c>
      <c r="D169" s="300">
        <v>0.1371494718521305</v>
      </c>
      <c r="E169" s="300">
        <v>0.28522253850404433</v>
      </c>
      <c r="F169" s="300">
        <v>3.2075622367567704E-2</v>
      </c>
      <c r="G169" s="300">
        <v>2.0799299034889297E-2</v>
      </c>
      <c r="H169" s="301">
        <v>4.978761637609597E-3</v>
      </c>
      <c r="I169" s="49" t="s">
        <v>1</v>
      </c>
    </row>
    <row r="170" spans="1:9" ht="17.100000000000001" customHeight="1" x14ac:dyDescent="0.25">
      <c r="A170" s="38"/>
      <c r="B170" s="299">
        <v>0.36980098011175122</v>
      </c>
      <c r="C170" s="300">
        <v>0.20455281475466103</v>
      </c>
      <c r="D170" s="300">
        <v>0.16405095619758753</v>
      </c>
      <c r="E170" s="300">
        <v>0.18983309398043496</v>
      </c>
      <c r="F170" s="300">
        <v>4.2073704898280689E-2</v>
      </c>
      <c r="G170" s="300">
        <v>2.6840592085233948E-2</v>
      </c>
      <c r="H170" s="301">
        <v>2.8478579720492355E-3</v>
      </c>
      <c r="I170" s="49" t="s">
        <v>21</v>
      </c>
    </row>
    <row r="171" spans="1:9" ht="17.100000000000001" customHeight="1" x14ac:dyDescent="0.25">
      <c r="A171" s="38"/>
      <c r="B171" s="299">
        <v>0.35960464801327191</v>
      </c>
      <c r="C171" s="300">
        <v>0.21617988327196985</v>
      </c>
      <c r="D171" s="300">
        <v>0.18626412187725352</v>
      </c>
      <c r="E171" s="300">
        <v>0.14947440623634456</v>
      </c>
      <c r="F171" s="300">
        <v>5.2853211049810077E-2</v>
      </c>
      <c r="G171" s="300">
        <v>3.1864834018235248E-2</v>
      </c>
      <c r="H171" s="301">
        <v>3.75889553311346E-3</v>
      </c>
      <c r="I171" s="49" t="s">
        <v>22</v>
      </c>
    </row>
    <row r="172" spans="1:9" ht="17.100000000000001" customHeight="1" x14ac:dyDescent="0.25">
      <c r="A172" s="38"/>
      <c r="B172" s="299">
        <v>0.38545764109664032</v>
      </c>
      <c r="C172" s="300">
        <v>0.22971767276778365</v>
      </c>
      <c r="D172" s="300">
        <v>0.15787437697257486</v>
      </c>
      <c r="E172" s="300">
        <v>0.10447298473472183</v>
      </c>
      <c r="F172" s="300">
        <v>8.0395815700877393E-2</v>
      </c>
      <c r="G172" s="300">
        <v>3.967458523558285E-2</v>
      </c>
      <c r="H172" s="301">
        <v>2.4069234918180265E-3</v>
      </c>
      <c r="I172" s="49" t="s">
        <v>23</v>
      </c>
    </row>
    <row r="173" spans="1:9" ht="17.100000000000001" customHeight="1" x14ac:dyDescent="0.25">
      <c r="A173" s="38"/>
      <c r="B173" s="299">
        <v>0.32024015671283207</v>
      </c>
      <c r="C173" s="300">
        <v>0.27128126136191061</v>
      </c>
      <c r="D173" s="300">
        <v>0.1899341431613088</v>
      </c>
      <c r="E173" s="300">
        <v>7.5391203612630825E-2</v>
      </c>
      <c r="F173" s="300">
        <v>0.1029676987248037</v>
      </c>
      <c r="G173" s="300">
        <v>3.4511818347215589E-2</v>
      </c>
      <c r="H173" s="301">
        <v>5.6737180792971569E-3</v>
      </c>
      <c r="I173" s="49" t="s">
        <v>24</v>
      </c>
    </row>
    <row r="174" spans="1:9" ht="17.100000000000001" customHeight="1" x14ac:dyDescent="0.25">
      <c r="A174" s="38"/>
      <c r="B174" s="299">
        <v>0.39013331385139904</v>
      </c>
      <c r="C174" s="300">
        <v>0.27102970993704145</v>
      </c>
      <c r="D174" s="300">
        <v>0.11624047689854847</v>
      </c>
      <c r="E174" s="300">
        <v>4.7798713596655384E-2</v>
      </c>
      <c r="F174" s="300">
        <v>0.12944716210508281</v>
      </c>
      <c r="G174" s="300">
        <v>4.1063440681369023E-2</v>
      </c>
      <c r="H174" s="301">
        <v>4.2871829299031003E-3</v>
      </c>
      <c r="I174" s="49" t="s">
        <v>25</v>
      </c>
    </row>
    <row r="175" spans="1:9" ht="17.100000000000001" customHeight="1" x14ac:dyDescent="0.25">
      <c r="A175" s="38"/>
      <c r="B175" s="299">
        <v>0.39886777102209497</v>
      </c>
      <c r="C175" s="300">
        <v>0.26258675557306027</v>
      </c>
      <c r="D175" s="300">
        <v>9.4182318570374776E-2</v>
      </c>
      <c r="E175" s="300">
        <v>3.7581445466209784E-2</v>
      </c>
      <c r="F175" s="300">
        <v>0.15556265625245802</v>
      </c>
      <c r="G175" s="300">
        <v>4.4749922408024154E-2</v>
      </c>
      <c r="H175" s="301">
        <v>6.4691307077775033E-3</v>
      </c>
      <c r="I175" s="49" t="s">
        <v>27</v>
      </c>
    </row>
    <row r="176" spans="1:9" ht="17.100000000000001" customHeight="1" x14ac:dyDescent="0.25">
      <c r="A176" s="38"/>
      <c r="B176" s="299">
        <v>0.42911110812841324</v>
      </c>
      <c r="C176" s="300">
        <v>0.26656829456017017</v>
      </c>
      <c r="D176" s="300">
        <v>6.5557540244492216E-2</v>
      </c>
      <c r="E176" s="300">
        <v>2.9000843392812958E-2</v>
      </c>
      <c r="F176" s="300">
        <v>0.15891581654077352</v>
      </c>
      <c r="G176" s="300">
        <v>4.7259371411972853E-2</v>
      </c>
      <c r="H176" s="301">
        <v>3.58702572136518E-3</v>
      </c>
      <c r="I176" s="49" t="s">
        <v>26</v>
      </c>
    </row>
    <row r="177" spans="1:9" ht="17.100000000000001" customHeight="1" x14ac:dyDescent="0.25">
      <c r="A177" s="38" t="s">
        <v>2</v>
      </c>
      <c r="B177" s="299">
        <v>0.42748295039843337</v>
      </c>
      <c r="C177" s="300">
        <v>0.24850624096896146</v>
      </c>
      <c r="D177" s="300">
        <v>8.3233221225509718E-2</v>
      </c>
      <c r="E177" s="300">
        <v>2.6729044546928059E-2</v>
      </c>
      <c r="F177" s="300">
        <v>0.16056085319718993</v>
      </c>
      <c r="G177" s="300">
        <v>4.9962655637416725E-2</v>
      </c>
      <c r="H177" s="301">
        <v>3.5250340255609225E-3</v>
      </c>
      <c r="I177" s="49" t="s">
        <v>2</v>
      </c>
    </row>
    <row r="178" spans="1:9" ht="17.100000000000001" customHeight="1" x14ac:dyDescent="0.25">
      <c r="A178" s="38"/>
      <c r="B178" s="299">
        <v>0.44657822628388483</v>
      </c>
      <c r="C178" s="300">
        <v>0.24187464135911196</v>
      </c>
      <c r="D178" s="300">
        <v>5.8809516558315927E-2</v>
      </c>
      <c r="E178" s="300">
        <v>2.5786959616120531E-2</v>
      </c>
      <c r="F178" s="300">
        <v>0.16839776645224397</v>
      </c>
      <c r="G178" s="300">
        <v>5.4954408654567771E-2</v>
      </c>
      <c r="H178" s="301">
        <v>3.5984810757549598E-3</v>
      </c>
      <c r="I178" s="49" t="s">
        <v>28</v>
      </c>
    </row>
    <row r="179" spans="1:9" ht="17.100000000000001" customHeight="1" x14ac:dyDescent="0.25">
      <c r="A179" s="38"/>
      <c r="B179" s="299">
        <v>0.40591979069815115</v>
      </c>
      <c r="C179" s="300">
        <v>0.21779410785378361</v>
      </c>
      <c r="D179" s="300">
        <v>0.12870708284894397</v>
      </c>
      <c r="E179" s="300">
        <v>3.884092389045922E-2</v>
      </c>
      <c r="F179" s="300">
        <v>0.16614105544304217</v>
      </c>
      <c r="G179" s="300">
        <v>3.9674556756316447E-2</v>
      </c>
      <c r="H179" s="301">
        <v>2.9224825093032802E-3</v>
      </c>
      <c r="I179" s="49" t="s">
        <v>29</v>
      </c>
    </row>
    <row r="180" spans="1:9" ht="17.100000000000001" customHeight="1" x14ac:dyDescent="0.25">
      <c r="A180" s="38"/>
      <c r="B180" s="299">
        <v>0.42333028087128838</v>
      </c>
      <c r="C180" s="300">
        <v>0.21903329509031727</v>
      </c>
      <c r="D180" s="300">
        <v>9.5308618145101442E-2</v>
      </c>
      <c r="E180" s="300">
        <v>3.2672702708989219E-2</v>
      </c>
      <c r="F180" s="300">
        <v>0.18222174491631077</v>
      </c>
      <c r="G180" s="300">
        <v>4.4103263922278278E-2</v>
      </c>
      <c r="H180" s="301">
        <v>3.3300943457146267E-3</v>
      </c>
      <c r="I180" s="49" t="s">
        <v>30</v>
      </c>
    </row>
    <row r="181" spans="1:9" ht="17.100000000000001" customHeight="1" x14ac:dyDescent="0.25">
      <c r="A181" s="38"/>
      <c r="B181" s="299">
        <v>0.40477348167301053</v>
      </c>
      <c r="C181" s="300">
        <v>0.19090172090589486</v>
      </c>
      <c r="D181" s="300">
        <v>0.14599179125228495</v>
      </c>
      <c r="E181" s="300">
        <v>3.936319783778143E-2</v>
      </c>
      <c r="F181" s="300">
        <v>0.17601698487319589</v>
      </c>
      <c r="G181" s="300">
        <v>4.1090473238928817E-2</v>
      </c>
      <c r="H181" s="301">
        <v>1.8623502189027059E-3</v>
      </c>
      <c r="I181" s="49" t="s">
        <v>31</v>
      </c>
    </row>
    <row r="182" spans="1:9" ht="17.100000000000001" customHeight="1" x14ac:dyDescent="0.25">
      <c r="A182" s="38"/>
      <c r="B182" s="299">
        <v>0.38605485084036573</v>
      </c>
      <c r="C182" s="300">
        <v>0.19548462862738156</v>
      </c>
      <c r="D182" s="300">
        <v>0.14092379351372863</v>
      </c>
      <c r="E182" s="300">
        <v>3.9467499766959159E-2</v>
      </c>
      <c r="F182" s="300">
        <v>0.18772948310562274</v>
      </c>
      <c r="G182" s="300">
        <v>4.6958512012748255E-2</v>
      </c>
      <c r="H182" s="301">
        <v>3.38123213319271E-3</v>
      </c>
      <c r="I182" s="49" t="s">
        <v>32</v>
      </c>
    </row>
    <row r="183" spans="1:9" ht="17.100000000000001" customHeight="1" x14ac:dyDescent="0.25">
      <c r="A183" s="38"/>
      <c r="B183" s="299">
        <v>0.3544746935672714</v>
      </c>
      <c r="C183" s="300">
        <v>0.17504209185789343</v>
      </c>
      <c r="D183" s="300">
        <v>0.1552118443086998</v>
      </c>
      <c r="E183" s="300">
        <v>4.9312171853344626E-2</v>
      </c>
      <c r="F183" s="300">
        <v>0.21158208343801788</v>
      </c>
      <c r="G183" s="300">
        <v>5.3362979306280402E-2</v>
      </c>
      <c r="H183" s="301">
        <v>1.0141356684905815E-3</v>
      </c>
      <c r="I183" s="49" t="s">
        <v>33</v>
      </c>
    </row>
    <row r="184" spans="1:9" ht="17.100000000000001" customHeight="1" x14ac:dyDescent="0.25">
      <c r="A184" s="38"/>
      <c r="B184" s="299">
        <v>0.2856798545373041</v>
      </c>
      <c r="C184" s="300">
        <v>0.18744127100308908</v>
      </c>
      <c r="D184" s="300">
        <v>0.16357330561342789</v>
      </c>
      <c r="E184" s="300">
        <v>5.4926642385416044E-2</v>
      </c>
      <c r="F184" s="300">
        <v>0.24204300761558692</v>
      </c>
      <c r="G184" s="300">
        <v>6.4603299806205425E-2</v>
      </c>
      <c r="H184" s="301">
        <v>1.7326190389684918E-3</v>
      </c>
      <c r="I184" s="49" t="s">
        <v>34</v>
      </c>
    </row>
    <row r="185" spans="1:9" ht="17.100000000000001" customHeight="1" x14ac:dyDescent="0.25">
      <c r="A185" s="38" t="s">
        <v>3</v>
      </c>
      <c r="B185" s="299">
        <v>0.24668558197627591</v>
      </c>
      <c r="C185" s="300">
        <v>0.20640250087262227</v>
      </c>
      <c r="D185" s="300">
        <v>0.14350886937218321</v>
      </c>
      <c r="E185" s="300">
        <v>6.1853645217698074E-2</v>
      </c>
      <c r="F185" s="300">
        <v>0.25986651285410062</v>
      </c>
      <c r="G185" s="300">
        <v>7.9798927997520419E-2</v>
      </c>
      <c r="H185" s="301">
        <v>1.8839617095976031E-3</v>
      </c>
      <c r="I185" s="49" t="s">
        <v>3</v>
      </c>
    </row>
    <row r="186" spans="1:9" ht="17.100000000000001" customHeight="1" x14ac:dyDescent="0.25">
      <c r="A186" s="38"/>
      <c r="B186" s="299">
        <v>0.20692326829066957</v>
      </c>
      <c r="C186" s="300">
        <v>0.20619721127850188</v>
      </c>
      <c r="D186" s="300">
        <v>0.14676835185526743</v>
      </c>
      <c r="E186" s="300">
        <v>6.7384353846452041E-2</v>
      </c>
      <c r="F186" s="300">
        <v>0.28132618826474881</v>
      </c>
      <c r="G186" s="300">
        <v>8.9232465701704816E-2</v>
      </c>
      <c r="H186" s="301">
        <v>2.1681607626532393E-3</v>
      </c>
      <c r="I186" s="49" t="s">
        <v>35</v>
      </c>
    </row>
    <row r="187" spans="1:9" ht="17.100000000000001" customHeight="1" x14ac:dyDescent="0.25">
      <c r="A187" s="38"/>
      <c r="B187" s="299">
        <v>0.17629019858893577</v>
      </c>
      <c r="C187" s="300">
        <v>0.21784871823577315</v>
      </c>
      <c r="D187" s="300">
        <v>0.14779900460522502</v>
      </c>
      <c r="E187" s="300">
        <v>6.0888621274489407E-2</v>
      </c>
      <c r="F187" s="300">
        <v>0.30520777078437988</v>
      </c>
      <c r="G187" s="300">
        <v>8.93181228774831E-2</v>
      </c>
      <c r="H187" s="301">
        <v>2.6475636337120424E-3</v>
      </c>
      <c r="I187" s="49" t="s">
        <v>36</v>
      </c>
    </row>
    <row r="188" spans="1:9" ht="17.100000000000001" customHeight="1" x14ac:dyDescent="0.25">
      <c r="A188" s="38"/>
      <c r="B188" s="299">
        <v>0.15581006501541225</v>
      </c>
      <c r="C188" s="300">
        <v>0.20776891018573104</v>
      </c>
      <c r="D188" s="300">
        <v>0.13159488486754445</v>
      </c>
      <c r="E188" s="300">
        <v>5.7298083359836459E-2</v>
      </c>
      <c r="F188" s="300">
        <v>0.33200087209844203</v>
      </c>
      <c r="G188" s="300">
        <v>0.11199872859274984</v>
      </c>
      <c r="H188" s="301">
        <v>3.5284558802823138E-3</v>
      </c>
      <c r="I188" s="49" t="s">
        <v>37</v>
      </c>
    </row>
    <row r="189" spans="1:9" ht="17.100000000000001" customHeight="1" x14ac:dyDescent="0.25">
      <c r="A189" s="38"/>
      <c r="B189" s="299">
        <v>0.12366365647555715</v>
      </c>
      <c r="C189" s="300">
        <v>0.23520679522376842</v>
      </c>
      <c r="D189" s="300">
        <v>0.13019575695385344</v>
      </c>
      <c r="E189" s="300">
        <v>4.169632898032534E-2</v>
      </c>
      <c r="F189" s="300">
        <v>0.32946495403251624</v>
      </c>
      <c r="G189" s="300">
        <v>0.13713295353438684</v>
      </c>
      <c r="H189" s="301">
        <v>2.6395547995917926E-3</v>
      </c>
      <c r="I189" s="49" t="s">
        <v>38</v>
      </c>
    </row>
    <row r="190" spans="1:9" ht="17.100000000000001" customHeight="1" x14ac:dyDescent="0.25">
      <c r="A190" s="38"/>
      <c r="B190" s="299">
        <v>0.11689207167537118</v>
      </c>
      <c r="C190" s="300">
        <v>0.22352085252098411</v>
      </c>
      <c r="D190" s="300">
        <v>0.12386607592621518</v>
      </c>
      <c r="E190" s="300">
        <v>4.5672271323208842E-2</v>
      </c>
      <c r="F190" s="300">
        <v>0.33030663921153808</v>
      </c>
      <c r="G190" s="300">
        <v>0.15855381880016636</v>
      </c>
      <c r="H190" s="301">
        <v>1.1882705425155739E-3</v>
      </c>
      <c r="I190" s="49" t="s">
        <v>39</v>
      </c>
    </row>
    <row r="191" spans="1:9" ht="17.100000000000001" customHeight="1" x14ac:dyDescent="0.25">
      <c r="A191" s="38"/>
      <c r="B191" s="299">
        <v>8.638174960311519E-2</v>
      </c>
      <c r="C191" s="300">
        <v>0.19532369219979315</v>
      </c>
      <c r="D191" s="300">
        <v>0.15199699262954358</v>
      </c>
      <c r="E191" s="300">
        <v>4.6953294554075174E-2</v>
      </c>
      <c r="F191" s="300">
        <v>0.24716237256329698</v>
      </c>
      <c r="G191" s="300">
        <v>0.27170378419202273</v>
      </c>
      <c r="H191" s="301">
        <v>4.7811425815170034E-4</v>
      </c>
      <c r="I191" s="49" t="s">
        <v>40</v>
      </c>
    </row>
    <row r="192" spans="1:9" ht="17.100000000000001" customHeight="1" x14ac:dyDescent="0.25">
      <c r="A192" s="38"/>
      <c r="B192" s="299">
        <v>7.9131759759384357E-2</v>
      </c>
      <c r="C192" s="300">
        <v>0.17926631997818071</v>
      </c>
      <c r="D192" s="300">
        <v>0.15192776750216164</v>
      </c>
      <c r="E192" s="300">
        <v>4.3788802112149854E-2</v>
      </c>
      <c r="F192" s="300">
        <v>0.23730941162059815</v>
      </c>
      <c r="G192" s="300">
        <v>0.3066904161281872</v>
      </c>
      <c r="H192" s="301">
        <v>1.8855228993368246E-3</v>
      </c>
      <c r="I192" s="49" t="s">
        <v>41</v>
      </c>
    </row>
    <row r="193" spans="1:9" ht="17.100000000000001" customHeight="1" x14ac:dyDescent="0.25">
      <c r="A193" s="38" t="s">
        <v>4</v>
      </c>
      <c r="B193" s="299">
        <v>6.8362183078707034E-2</v>
      </c>
      <c r="C193" s="300">
        <v>0.13822522182147806</v>
      </c>
      <c r="D193" s="300">
        <v>0.1806718193265002</v>
      </c>
      <c r="E193" s="300">
        <v>4.8414780857776944E-2</v>
      </c>
      <c r="F193" s="300">
        <v>0.20887897185563717</v>
      </c>
      <c r="G193" s="300">
        <v>0.35233290984568932</v>
      </c>
      <c r="H193" s="301">
        <v>3.1141132142093997E-3</v>
      </c>
      <c r="I193" s="49" t="s">
        <v>4</v>
      </c>
    </row>
    <row r="194" spans="1:9" ht="17.100000000000001" customHeight="1" x14ac:dyDescent="0.25">
      <c r="A194" s="38"/>
      <c r="B194" s="299">
        <v>6.0988184026023774E-2</v>
      </c>
      <c r="C194" s="300">
        <v>0.11818233906744727</v>
      </c>
      <c r="D194" s="300">
        <v>0.11313412391642545</v>
      </c>
      <c r="E194" s="300">
        <v>5.4396088741845088E-2</v>
      </c>
      <c r="F194" s="300">
        <v>0.21389438937395316</v>
      </c>
      <c r="G194" s="300">
        <v>0.43461913959440518</v>
      </c>
      <c r="H194" s="301">
        <v>4.7857352798979808E-3</v>
      </c>
      <c r="I194" s="49" t="s">
        <v>43</v>
      </c>
    </row>
    <row r="195" spans="1:9" ht="17.100000000000001" customHeight="1" x14ac:dyDescent="0.25">
      <c r="A195" s="38"/>
      <c r="B195" s="299">
        <v>5.1985918115535712E-2</v>
      </c>
      <c r="C195" s="300">
        <v>8.7613326059714114E-2</v>
      </c>
      <c r="D195" s="300">
        <v>7.119268057335916E-2</v>
      </c>
      <c r="E195" s="300">
        <v>0.11953013248547212</v>
      </c>
      <c r="F195" s="300">
        <v>0.18700701582353385</v>
      </c>
      <c r="G195" s="300">
        <v>0.4773331110183654</v>
      </c>
      <c r="H195" s="301">
        <v>5.3378159240175613E-3</v>
      </c>
      <c r="I195" s="49" t="s">
        <v>42</v>
      </c>
    </row>
    <row r="196" spans="1:9" ht="17.100000000000001" customHeight="1" x14ac:dyDescent="0.25">
      <c r="A196" s="38"/>
      <c r="B196" s="299">
        <v>5.2392399840758518E-2</v>
      </c>
      <c r="C196" s="300">
        <v>6.6829732888028598E-2</v>
      </c>
      <c r="D196" s="300">
        <v>3.9675868493447425E-2</v>
      </c>
      <c r="E196" s="300">
        <v>0.15166323041350016</v>
      </c>
      <c r="F196" s="300">
        <v>0.17897149120624556</v>
      </c>
      <c r="G196" s="300">
        <v>0.50687119508941125</v>
      </c>
      <c r="H196" s="301">
        <v>3.5960820686067301E-3</v>
      </c>
      <c r="I196" s="49" t="s">
        <v>44</v>
      </c>
    </row>
    <row r="197" spans="1:9" ht="17.100000000000001" customHeight="1" x14ac:dyDescent="0.25">
      <c r="A197" s="38"/>
      <c r="B197" s="299">
        <v>4.5499343526645565E-2</v>
      </c>
      <c r="C197" s="300">
        <v>4.5329276274088552E-2</v>
      </c>
      <c r="D197" s="300">
        <v>2.2375653256211193E-2</v>
      </c>
      <c r="E197" s="300">
        <v>0.39655292844039403</v>
      </c>
      <c r="F197" s="300">
        <v>0.14982538345150012</v>
      </c>
      <c r="G197" s="300">
        <v>0.33417549625485743</v>
      </c>
      <c r="H197" s="301">
        <v>6.241918796302229E-3</v>
      </c>
      <c r="I197" s="49" t="s">
        <v>45</v>
      </c>
    </row>
    <row r="198" spans="1:9" ht="17.100000000000001" customHeight="1" x14ac:dyDescent="0.25">
      <c r="A198" s="38"/>
      <c r="B198" s="299">
        <v>2.9701326489591541E-2</v>
      </c>
      <c r="C198" s="300">
        <v>2.8636483946357337E-2</v>
      </c>
      <c r="D198" s="300">
        <v>1.6923222139831905E-2</v>
      </c>
      <c r="E198" s="300">
        <v>0.49361472069385748</v>
      </c>
      <c r="F198" s="300">
        <v>0.1370235647600051</v>
      </c>
      <c r="G198" s="300">
        <v>0.29050539422453014</v>
      </c>
      <c r="H198" s="301">
        <v>3.5952877458258585E-3</v>
      </c>
      <c r="I198" s="49" t="s">
        <v>46</v>
      </c>
    </row>
    <row r="199" spans="1:9" ht="17.100000000000001" customHeight="1" x14ac:dyDescent="0.25">
      <c r="A199" s="38"/>
      <c r="B199" s="299">
        <v>2.3071753516168809E-2</v>
      </c>
      <c r="C199" s="300">
        <v>1.7327055673643448E-2</v>
      </c>
      <c r="D199" s="300">
        <v>1.0938980507133621E-2</v>
      </c>
      <c r="E199" s="300">
        <v>0.70277658849437818</v>
      </c>
      <c r="F199" s="300">
        <v>9.3997279155284344E-2</v>
      </c>
      <c r="G199" s="300">
        <v>0.14912424778656597</v>
      </c>
      <c r="H199" s="301">
        <v>2.7640948668249017E-3</v>
      </c>
      <c r="I199" s="49" t="s">
        <v>47</v>
      </c>
    </row>
    <row r="200" spans="1:9" ht="17.100000000000001" customHeight="1" x14ac:dyDescent="0.25">
      <c r="A200" s="38"/>
      <c r="B200" s="299">
        <v>1.8313996266769675E-2</v>
      </c>
      <c r="C200" s="300">
        <v>8.002147774770256E-3</v>
      </c>
      <c r="D200" s="300">
        <v>5.2203358189430405E-3</v>
      </c>
      <c r="E200" s="300">
        <v>0.79561335389195031</v>
      </c>
      <c r="F200" s="300">
        <v>7.0722564518537923E-2</v>
      </c>
      <c r="G200" s="300">
        <v>9.9346561587803611E-2</v>
      </c>
      <c r="H200" s="301">
        <v>2.7810401412254908E-3</v>
      </c>
      <c r="I200" s="49" t="s">
        <v>48</v>
      </c>
    </row>
    <row r="201" spans="1:9" ht="17.100000000000001" customHeight="1" x14ac:dyDescent="0.25">
      <c r="A201" s="38" t="s">
        <v>5</v>
      </c>
      <c r="B201" s="299">
        <v>1.3268787916334807E-2</v>
      </c>
      <c r="C201" s="300">
        <v>2.8930044562375441E-3</v>
      </c>
      <c r="D201" s="300">
        <v>6.0987053179383725E-4</v>
      </c>
      <c r="E201" s="300">
        <v>0.90801564647573274</v>
      </c>
      <c r="F201" s="300">
        <v>3.7884878659330004E-2</v>
      </c>
      <c r="G201" s="300">
        <v>3.5799523857792406E-2</v>
      </c>
      <c r="H201" s="301">
        <v>1.5282881027787415E-3</v>
      </c>
      <c r="I201" s="49" t="s">
        <v>5</v>
      </c>
    </row>
    <row r="202" spans="1:9" ht="17.100000000000001" customHeight="1" x14ac:dyDescent="0.25">
      <c r="A202" s="38"/>
      <c r="B202" s="299">
        <v>1.1299427658381246E-2</v>
      </c>
      <c r="C202" s="300">
        <v>2.2709808480934068E-3</v>
      </c>
      <c r="D202" s="300">
        <v>7.710992312578136E-4</v>
      </c>
      <c r="E202" s="300">
        <v>0.94220874491837481</v>
      </c>
      <c r="F202" s="300">
        <v>1.9897796326918165E-2</v>
      </c>
      <c r="G202" s="300">
        <v>2.2745771676963164E-2</v>
      </c>
      <c r="H202" s="301">
        <v>8.0617934001179267E-4</v>
      </c>
      <c r="I202" s="49" t="s">
        <v>49</v>
      </c>
    </row>
    <row r="203" spans="1:9" ht="17.100000000000001" customHeight="1" x14ac:dyDescent="0.25">
      <c r="A203" s="38"/>
      <c r="B203" s="299">
        <v>6.9204017429530017E-3</v>
      </c>
      <c r="C203" s="300">
        <v>1.2638029899827879E-3</v>
      </c>
      <c r="D203" s="300">
        <v>4.4008323754406604E-4</v>
      </c>
      <c r="E203" s="300">
        <v>0.97391802977779496</v>
      </c>
      <c r="F203" s="300">
        <v>9.7474131679175582E-3</v>
      </c>
      <c r="G203" s="300">
        <v>7.5531082647560055E-3</v>
      </c>
      <c r="H203" s="301">
        <v>1.5716081905198565E-4</v>
      </c>
      <c r="I203" s="49" t="s">
        <v>50</v>
      </c>
    </row>
    <row r="204" spans="1:9" ht="17.100000000000001" customHeight="1" x14ac:dyDescent="0.25">
      <c r="A204" s="38"/>
      <c r="B204" s="299">
        <v>6.7173304456546561E-3</v>
      </c>
      <c r="C204" s="300">
        <v>7.2784569282778589E-4</v>
      </c>
      <c r="D204" s="300">
        <v>0</v>
      </c>
      <c r="E204" s="300">
        <v>0.97798806050343057</v>
      </c>
      <c r="F204" s="300">
        <v>7.8814041343167919E-3</v>
      </c>
      <c r="G204" s="300">
        <v>6.6853592237704649E-3</v>
      </c>
      <c r="H204" s="301">
        <v>0</v>
      </c>
      <c r="I204" s="49" t="s">
        <v>51</v>
      </c>
    </row>
    <row r="205" spans="1:9" ht="17.100000000000001" customHeight="1" x14ac:dyDescent="0.25">
      <c r="A205" s="38"/>
      <c r="B205" s="299">
        <v>6.3919586839821909E-3</v>
      </c>
      <c r="C205" s="300">
        <v>1.3023692316916308E-3</v>
      </c>
      <c r="D205" s="300">
        <v>1.5716081905198565E-4</v>
      </c>
      <c r="E205" s="300">
        <v>0.98633501744781649</v>
      </c>
      <c r="F205" s="300">
        <v>4.0144044004912375E-3</v>
      </c>
      <c r="G205" s="300">
        <v>1.7990894169666676E-3</v>
      </c>
      <c r="H205" s="301">
        <v>0</v>
      </c>
      <c r="I205" s="49" t="s">
        <v>52</v>
      </c>
    </row>
    <row r="206" spans="1:9" ht="17.100000000000001" customHeight="1" x14ac:dyDescent="0.25">
      <c r="A206" s="38"/>
      <c r="B206" s="299">
        <v>5.2879569460693807E-3</v>
      </c>
      <c r="C206" s="300">
        <v>6.2366202559712574E-4</v>
      </c>
      <c r="D206" s="300">
        <v>5.8742764617073667E-4</v>
      </c>
      <c r="E206" s="300">
        <v>0.98848739239159267</v>
      </c>
      <c r="F206" s="300">
        <v>3.5689204438347335E-3</v>
      </c>
      <c r="G206" s="300">
        <v>1.0141503442669558E-3</v>
      </c>
      <c r="H206" s="301">
        <v>4.3049020246856709E-4</v>
      </c>
      <c r="I206" s="49" t="s">
        <v>53</v>
      </c>
    </row>
    <row r="207" spans="1:9" ht="17.100000000000001" customHeight="1" x14ac:dyDescent="0.25">
      <c r="A207" s="38"/>
      <c r="B207" s="299">
        <v>5.1347478375024123E-3</v>
      </c>
      <c r="C207" s="300">
        <v>0</v>
      </c>
      <c r="D207" s="300">
        <v>2.7748400356616314E-4</v>
      </c>
      <c r="E207" s="300">
        <v>0.99128966066592172</v>
      </c>
      <c r="F207" s="300">
        <v>2.0977465527236461E-3</v>
      </c>
      <c r="G207" s="300">
        <v>1.2003609402861683E-3</v>
      </c>
      <c r="H207" s="301">
        <v>0</v>
      </c>
      <c r="I207" s="49" t="s">
        <v>54</v>
      </c>
    </row>
    <row r="208" spans="1:9" ht="17.100000000000001" customHeight="1" x14ac:dyDescent="0.25">
      <c r="A208" s="39" t="s">
        <v>6</v>
      </c>
      <c r="B208" s="302">
        <v>5.7180481387471369E-3</v>
      </c>
      <c r="C208" s="303">
        <v>4.3049020246856709E-4</v>
      </c>
      <c r="D208" s="303">
        <v>0</v>
      </c>
      <c r="E208" s="303">
        <v>0.99113305878301272</v>
      </c>
      <c r="F208" s="303">
        <v>2.0977465527236461E-3</v>
      </c>
      <c r="G208" s="303">
        <v>6.2065632304802369E-4</v>
      </c>
      <c r="H208" s="304">
        <v>0</v>
      </c>
      <c r="I208" s="50" t="s">
        <v>6</v>
      </c>
    </row>
    <row r="210" spans="1:22" ht="21" customHeight="1" x14ac:dyDescent="0.25">
      <c r="A210" s="1368" t="s">
        <v>702</v>
      </c>
      <c r="B210" s="1365"/>
      <c r="C210" s="1365"/>
      <c r="D210" s="1365"/>
      <c r="E210" s="1365"/>
      <c r="F210" s="1365"/>
      <c r="G210" s="1365"/>
      <c r="H210" s="1366"/>
    </row>
    <row r="211" spans="1:22" ht="38.25" customHeight="1" x14ac:dyDescent="0.25">
      <c r="A211" s="1359"/>
      <c r="B211" s="34"/>
      <c r="C211" s="35"/>
      <c r="D211" s="35"/>
      <c r="E211" s="35"/>
      <c r="F211" s="35"/>
      <c r="G211" s="35"/>
      <c r="H211" s="36"/>
      <c r="I211" s="1353"/>
      <c r="K211" s="1355" t="s">
        <v>691</v>
      </c>
      <c r="L211" s="1355"/>
      <c r="M211" s="1355"/>
      <c r="N211" s="1355"/>
      <c r="O211" s="1355"/>
      <c r="P211" s="1355"/>
      <c r="Q211" s="1355"/>
      <c r="R211" s="1355"/>
      <c r="S211" s="1355"/>
      <c r="T211" s="1355"/>
      <c r="U211" s="1355"/>
      <c r="V211" s="1355"/>
    </row>
    <row r="212" spans="1:22" ht="27" customHeight="1" x14ac:dyDescent="0.25">
      <c r="A212" s="1360"/>
      <c r="B212" s="293" t="s">
        <v>113</v>
      </c>
      <c r="C212" s="293" t="s">
        <v>114</v>
      </c>
      <c r="D212" s="294" t="s">
        <v>409</v>
      </c>
      <c r="E212" s="294" t="s">
        <v>410</v>
      </c>
      <c r="F212" s="294" t="s">
        <v>117</v>
      </c>
      <c r="G212" s="294" t="s">
        <v>411</v>
      </c>
      <c r="H212" s="295" t="s">
        <v>118</v>
      </c>
      <c r="I212" s="1354"/>
    </row>
    <row r="213" spans="1:22" ht="17.100000000000001" customHeight="1" x14ac:dyDescent="0.25">
      <c r="A213" s="37" t="s">
        <v>0</v>
      </c>
      <c r="B213" s="296">
        <v>1.6114354663154199E-2</v>
      </c>
      <c r="C213" s="297">
        <v>2.2850381509330464E-4</v>
      </c>
      <c r="D213" s="297">
        <v>7.7687903776984559E-4</v>
      </c>
      <c r="E213" s="297">
        <v>0.97919058519913638</v>
      </c>
      <c r="F213" s="297">
        <v>2.464988163837598E-3</v>
      </c>
      <c r="G213" s="297">
        <v>4.5161966269904473E-4</v>
      </c>
      <c r="H213" s="298">
        <v>7.7306945830977428E-4</v>
      </c>
      <c r="I213" s="51" t="s">
        <v>0</v>
      </c>
    </row>
    <row r="214" spans="1:22" ht="17.100000000000001" customHeight="1" x14ac:dyDescent="0.25">
      <c r="A214" s="38"/>
      <c r="B214" s="299">
        <v>2.0570579682880827E-2</v>
      </c>
      <c r="C214" s="300">
        <v>1.1038053366323167E-3</v>
      </c>
      <c r="D214" s="300">
        <v>1.7511266835019631E-3</v>
      </c>
      <c r="E214" s="300">
        <v>0.97495851757535457</v>
      </c>
      <c r="F214" s="300">
        <v>3.9128160062128643E-4</v>
      </c>
      <c r="G214" s="300">
        <v>4.5161966269904473E-4</v>
      </c>
      <c r="H214" s="301">
        <v>7.7306945830977428E-4</v>
      </c>
      <c r="I214" s="53" t="s">
        <v>14</v>
      </c>
    </row>
    <row r="215" spans="1:22" ht="17.100000000000001" customHeight="1" x14ac:dyDescent="0.25">
      <c r="A215" s="38"/>
      <c r="B215" s="299">
        <v>3.0659903450161296E-2</v>
      </c>
      <c r="C215" s="300">
        <v>6.2984571731623529E-3</v>
      </c>
      <c r="D215" s="300">
        <v>5.2283110182452909E-3</v>
      </c>
      <c r="E215" s="300">
        <v>0.95578064939924612</v>
      </c>
      <c r="F215" s="300">
        <v>1.2782388701043379E-3</v>
      </c>
      <c r="G215" s="300">
        <v>7.5444008907997006E-4</v>
      </c>
      <c r="H215" s="301">
        <v>0</v>
      </c>
      <c r="I215" s="52" t="s">
        <v>15</v>
      </c>
    </row>
    <row r="216" spans="1:22" ht="17.100000000000001" customHeight="1" x14ac:dyDescent="0.25">
      <c r="A216" s="38"/>
      <c r="B216" s="299">
        <v>6.4520291768647223E-2</v>
      </c>
      <c r="C216" s="300">
        <v>1.2264822377756923E-2</v>
      </c>
      <c r="D216" s="300">
        <v>1.6238214799935421E-2</v>
      </c>
      <c r="E216" s="300">
        <v>0.90174806356113146</v>
      </c>
      <c r="F216" s="300">
        <v>3.9187809263121843E-3</v>
      </c>
      <c r="G216" s="300">
        <v>1.3098265662163484E-3</v>
      </c>
      <c r="H216" s="301">
        <v>0</v>
      </c>
      <c r="I216" s="49" t="s">
        <v>16</v>
      </c>
    </row>
    <row r="217" spans="1:22" ht="17.100000000000001" customHeight="1" x14ac:dyDescent="0.25">
      <c r="A217" s="38"/>
      <c r="B217" s="299">
        <v>0.10821937898956867</v>
      </c>
      <c r="C217" s="300">
        <v>1.8971955530105333E-2</v>
      </c>
      <c r="D217" s="300">
        <v>2.213566701933227E-2</v>
      </c>
      <c r="E217" s="300">
        <v>0.83994799921323771</v>
      </c>
      <c r="F217" s="300">
        <v>6.1605151633424239E-3</v>
      </c>
      <c r="G217" s="300">
        <v>3.0069486715693411E-3</v>
      </c>
      <c r="H217" s="301">
        <v>1.5575354128418827E-3</v>
      </c>
      <c r="I217" s="49" t="s">
        <v>17</v>
      </c>
    </row>
    <row r="218" spans="1:22" ht="17.100000000000001" customHeight="1" x14ac:dyDescent="0.25">
      <c r="A218" s="38"/>
      <c r="B218" s="299">
        <v>0.18805627260946176</v>
      </c>
      <c r="C218" s="300">
        <v>3.7380694894986695E-2</v>
      </c>
      <c r="D218" s="300">
        <v>5.7786176833925638E-2</v>
      </c>
      <c r="E218" s="300">
        <v>0.70338278833100398</v>
      </c>
      <c r="F218" s="300">
        <v>5.5794756666340496E-3</v>
      </c>
      <c r="G218" s="300">
        <v>6.9716942443693638E-3</v>
      </c>
      <c r="H218" s="301">
        <v>8.4289741961492799E-4</v>
      </c>
      <c r="I218" s="49" t="s">
        <v>18</v>
      </c>
    </row>
    <row r="219" spans="1:22" ht="17.100000000000001" customHeight="1" x14ac:dyDescent="0.25">
      <c r="A219" s="38"/>
      <c r="B219" s="299">
        <v>0.2800338414019598</v>
      </c>
      <c r="C219" s="300">
        <v>6.0423786576994848E-2</v>
      </c>
      <c r="D219" s="300">
        <v>6.9063960553978357E-2</v>
      </c>
      <c r="E219" s="300">
        <v>0.56240581186170346</v>
      </c>
      <c r="F219" s="300">
        <v>1.2357863739074691E-2</v>
      </c>
      <c r="G219" s="300">
        <v>1.3682833428002108E-2</v>
      </c>
      <c r="H219" s="301">
        <v>2.0319024382816284E-3</v>
      </c>
      <c r="I219" s="49" t="s">
        <v>19</v>
      </c>
    </row>
    <row r="220" spans="1:22" ht="17.100000000000001" customHeight="1" x14ac:dyDescent="0.25">
      <c r="A220" s="38"/>
      <c r="B220" s="299">
        <v>0.35833279834619786</v>
      </c>
      <c r="C220" s="300">
        <v>8.982164520958151E-2</v>
      </c>
      <c r="D220" s="300">
        <v>0.12712951307578399</v>
      </c>
      <c r="E220" s="300">
        <v>0.37574835747023916</v>
      </c>
      <c r="F220" s="300">
        <v>2.9902223345397785E-2</v>
      </c>
      <c r="G220" s="300">
        <v>1.6908278715393573E-2</v>
      </c>
      <c r="H220" s="301">
        <v>2.1571838373994684E-3</v>
      </c>
      <c r="I220" s="49" t="s">
        <v>20</v>
      </c>
    </row>
    <row r="221" spans="1:22" ht="17.100000000000001" customHeight="1" x14ac:dyDescent="0.25">
      <c r="A221" s="38" t="s">
        <v>1</v>
      </c>
      <c r="B221" s="299">
        <v>0.42226630994793912</v>
      </c>
      <c r="C221" s="300">
        <v>0.12104751774226251</v>
      </c>
      <c r="D221" s="300">
        <v>0.13046611706781869</v>
      </c>
      <c r="E221" s="300">
        <v>0.2616010146366855</v>
      </c>
      <c r="F221" s="300">
        <v>3.6608695139133778E-2</v>
      </c>
      <c r="G221" s="300">
        <v>2.5225247497356676E-2</v>
      </c>
      <c r="H221" s="301">
        <v>2.7850979687977966E-3</v>
      </c>
      <c r="I221" s="49" t="s">
        <v>1</v>
      </c>
    </row>
    <row r="222" spans="1:22" ht="17.100000000000001" customHeight="1" x14ac:dyDescent="0.25">
      <c r="A222" s="38"/>
      <c r="B222" s="299">
        <v>0.45468802365698885</v>
      </c>
      <c r="C222" s="300">
        <v>0.14494087412456957</v>
      </c>
      <c r="D222" s="300">
        <v>0.14865240922307549</v>
      </c>
      <c r="E222" s="300">
        <v>0.17549896909007784</v>
      </c>
      <c r="F222" s="300">
        <v>4.6277906003036599E-2</v>
      </c>
      <c r="G222" s="300">
        <v>2.8339797164301621E-2</v>
      </c>
      <c r="H222" s="301">
        <v>1.6020207379437012E-3</v>
      </c>
      <c r="I222" s="49" t="s">
        <v>21</v>
      </c>
    </row>
    <row r="223" spans="1:22" ht="17.100000000000001" customHeight="1" x14ac:dyDescent="0.25">
      <c r="A223" s="38"/>
      <c r="B223" s="299">
        <v>0.43718323130229003</v>
      </c>
      <c r="C223" s="300">
        <v>0.15716258616849102</v>
      </c>
      <c r="D223" s="300">
        <v>0.16574964625848165</v>
      </c>
      <c r="E223" s="300">
        <v>0.14450942815124204</v>
      </c>
      <c r="F223" s="300">
        <v>5.3077154927461345E-2</v>
      </c>
      <c r="G223" s="300">
        <v>3.9693354010464289E-2</v>
      </c>
      <c r="H223" s="301">
        <v>2.6245991815638334E-3</v>
      </c>
      <c r="I223" s="49" t="s">
        <v>22</v>
      </c>
    </row>
    <row r="224" spans="1:22" ht="17.100000000000001" customHeight="1" x14ac:dyDescent="0.25">
      <c r="A224" s="38"/>
      <c r="B224" s="299">
        <v>0.46916959954860471</v>
      </c>
      <c r="C224" s="300">
        <v>0.15249476463668954</v>
      </c>
      <c r="D224" s="300">
        <v>0.1480880545128154</v>
      </c>
      <c r="E224" s="300">
        <v>9.8477359593916167E-2</v>
      </c>
      <c r="F224" s="300">
        <v>8.3510699696514312E-2</v>
      </c>
      <c r="G224" s="300">
        <v>4.6736057163018735E-2</v>
      </c>
      <c r="H224" s="301">
        <v>1.5234648484353595E-3</v>
      </c>
      <c r="I224" s="49" t="s">
        <v>23</v>
      </c>
    </row>
    <row r="225" spans="1:9" ht="17.100000000000001" customHeight="1" x14ac:dyDescent="0.25">
      <c r="A225" s="38"/>
      <c r="B225" s="299">
        <v>0.39441154976671522</v>
      </c>
      <c r="C225" s="300">
        <v>0.18336657856260935</v>
      </c>
      <c r="D225" s="300">
        <v>0.19465216039998542</v>
      </c>
      <c r="E225" s="300">
        <v>8.0168465035693359E-2</v>
      </c>
      <c r="F225" s="300">
        <v>0.10821736328631795</v>
      </c>
      <c r="G225" s="300">
        <v>3.2493575710794427E-2</v>
      </c>
      <c r="H225" s="301">
        <v>6.6903072378788446E-3</v>
      </c>
      <c r="I225" s="49" t="s">
        <v>24</v>
      </c>
    </row>
    <row r="226" spans="1:9" ht="17.100000000000001" customHeight="1" x14ac:dyDescent="0.25">
      <c r="A226" s="38"/>
      <c r="B226" s="299">
        <v>0.48170210713604528</v>
      </c>
      <c r="C226" s="300">
        <v>0.17822513339500443</v>
      </c>
      <c r="D226" s="300">
        <v>0.10365556222127047</v>
      </c>
      <c r="E226" s="300">
        <v>5.3670554385587224E-2</v>
      </c>
      <c r="F226" s="300">
        <v>0.14119851082506377</v>
      </c>
      <c r="G226" s="300">
        <v>3.4931818808018343E-2</v>
      </c>
      <c r="H226" s="301">
        <v>6.6163132290044842E-3</v>
      </c>
      <c r="I226" s="49" t="s">
        <v>25</v>
      </c>
    </row>
    <row r="227" spans="1:9" ht="17.100000000000001" customHeight="1" x14ac:dyDescent="0.25">
      <c r="A227" s="38"/>
      <c r="B227" s="299">
        <v>0.48912574856568214</v>
      </c>
      <c r="C227" s="300">
        <v>0.16735423518385337</v>
      </c>
      <c r="D227" s="300">
        <v>9.4141701938071809E-2</v>
      </c>
      <c r="E227" s="300">
        <v>3.9329249385419679E-2</v>
      </c>
      <c r="F227" s="300">
        <v>0.15935314359944744</v>
      </c>
      <c r="G227" s="300">
        <v>4.3219020437250955E-2</v>
      </c>
      <c r="H227" s="301">
        <v>7.4769008902685471E-3</v>
      </c>
      <c r="I227" s="49" t="s">
        <v>27</v>
      </c>
    </row>
    <row r="228" spans="1:9" ht="17.100000000000001" customHeight="1" x14ac:dyDescent="0.25">
      <c r="A228" s="38"/>
      <c r="B228" s="299">
        <v>0.52137747088045316</v>
      </c>
      <c r="C228" s="300">
        <v>0.16034058509883167</v>
      </c>
      <c r="D228" s="300">
        <v>6.727679453264597E-2</v>
      </c>
      <c r="E228" s="300">
        <v>2.9767982883635757E-2</v>
      </c>
      <c r="F228" s="300">
        <v>0.16986383041221256</v>
      </c>
      <c r="G228" s="300">
        <v>4.8215520543480661E-2</v>
      </c>
      <c r="H228" s="301">
        <v>3.1578156487343939E-3</v>
      </c>
      <c r="I228" s="49" t="s">
        <v>26</v>
      </c>
    </row>
    <row r="229" spans="1:9" ht="17.100000000000001" customHeight="1" x14ac:dyDescent="0.25">
      <c r="A229" s="38" t="s">
        <v>2</v>
      </c>
      <c r="B229" s="299">
        <v>0.50979054519107514</v>
      </c>
      <c r="C229" s="300">
        <v>0.14143634924180731</v>
      </c>
      <c r="D229" s="300">
        <v>8.5435761975284269E-2</v>
      </c>
      <c r="E229" s="300">
        <v>2.6832886004795487E-2</v>
      </c>
      <c r="F229" s="300">
        <v>0.17540176664285634</v>
      </c>
      <c r="G229" s="300">
        <v>5.753945100545059E-2</v>
      </c>
      <c r="H229" s="301">
        <v>3.5632399387247422E-3</v>
      </c>
      <c r="I229" s="49" t="s">
        <v>2</v>
      </c>
    </row>
    <row r="230" spans="1:9" ht="17.100000000000001" customHeight="1" x14ac:dyDescent="0.25">
      <c r="A230" s="38"/>
      <c r="B230" s="299">
        <v>0.52637497211192541</v>
      </c>
      <c r="C230" s="300">
        <v>0.13945721243349116</v>
      </c>
      <c r="D230" s="300">
        <v>5.6063823235717673E-2</v>
      </c>
      <c r="E230" s="300">
        <v>2.4290770723144065E-2</v>
      </c>
      <c r="F230" s="300">
        <v>0.18758705567740133</v>
      </c>
      <c r="G230" s="300">
        <v>6.1980466868771102E-2</v>
      </c>
      <c r="H230" s="301">
        <v>4.2456989495436633E-3</v>
      </c>
      <c r="I230" s="49" t="s">
        <v>28</v>
      </c>
    </row>
    <row r="231" spans="1:9" ht="17.100000000000001" customHeight="1" x14ac:dyDescent="0.25">
      <c r="A231" s="38"/>
      <c r="B231" s="299">
        <v>0.48143829803348248</v>
      </c>
      <c r="C231" s="300">
        <v>0.11462816898506201</v>
      </c>
      <c r="D231" s="300">
        <v>0.14066121893513606</v>
      </c>
      <c r="E231" s="300">
        <v>4.5309214184161083E-2</v>
      </c>
      <c r="F231" s="300">
        <v>0.17693480910055295</v>
      </c>
      <c r="G231" s="300">
        <v>3.8492653903997802E-2</v>
      </c>
      <c r="H231" s="301">
        <v>2.5356368576012881E-3</v>
      </c>
      <c r="I231" s="49" t="s">
        <v>29</v>
      </c>
    </row>
    <row r="232" spans="1:9" ht="17.100000000000001" customHeight="1" x14ac:dyDescent="0.25">
      <c r="A232" s="38"/>
      <c r="B232" s="299">
        <v>0.50658967373900754</v>
      </c>
      <c r="C232" s="300">
        <v>0.11887188731040686</v>
      </c>
      <c r="D232" s="300">
        <v>9.6883624173763144E-2</v>
      </c>
      <c r="E232" s="300">
        <v>3.7360873040478242E-2</v>
      </c>
      <c r="F232" s="300">
        <v>0.19382390956856899</v>
      </c>
      <c r="G232" s="300">
        <v>4.3607823210545592E-2</v>
      </c>
      <c r="H232" s="301">
        <v>2.8622089572235541E-3</v>
      </c>
      <c r="I232" s="49" t="s">
        <v>30</v>
      </c>
    </row>
    <row r="233" spans="1:9" ht="17.100000000000001" customHeight="1" x14ac:dyDescent="0.25">
      <c r="A233" s="38"/>
      <c r="B233" s="299">
        <v>0.48251827226677685</v>
      </c>
      <c r="C233" s="300">
        <v>0.10127031924859255</v>
      </c>
      <c r="D233" s="300">
        <v>0.1417089288470714</v>
      </c>
      <c r="E233" s="300">
        <v>3.9260089527297849E-2</v>
      </c>
      <c r="F233" s="300">
        <v>0.18920134137402297</v>
      </c>
      <c r="G233" s="300">
        <v>4.3876189986455788E-2</v>
      </c>
      <c r="H233" s="301">
        <v>2.1648587497760533E-3</v>
      </c>
      <c r="I233" s="49" t="s">
        <v>31</v>
      </c>
    </row>
    <row r="234" spans="1:9" ht="17.100000000000001" customHeight="1" x14ac:dyDescent="0.25">
      <c r="A234" s="38"/>
      <c r="B234" s="299">
        <v>0.46466860590457626</v>
      </c>
      <c r="C234" s="300">
        <v>0.10909725555334832</v>
      </c>
      <c r="D234" s="300">
        <v>0.12935343825910298</v>
      </c>
      <c r="E234" s="300">
        <v>4.8397743842562277E-2</v>
      </c>
      <c r="F234" s="300">
        <v>0.1972100522997153</v>
      </c>
      <c r="G234" s="300">
        <v>5.0080137549873741E-2</v>
      </c>
      <c r="H234" s="301">
        <v>1.1927665908148474E-3</v>
      </c>
      <c r="I234" s="49" t="s">
        <v>32</v>
      </c>
    </row>
    <row r="235" spans="1:9" ht="17.100000000000001" customHeight="1" x14ac:dyDescent="0.25">
      <c r="A235" s="38"/>
      <c r="B235" s="299">
        <v>0.42840226664237241</v>
      </c>
      <c r="C235" s="300">
        <v>0.10287241936190566</v>
      </c>
      <c r="D235" s="300">
        <v>0.15562315204180394</v>
      </c>
      <c r="E235" s="300">
        <v>5.5701747337909183E-2</v>
      </c>
      <c r="F235" s="300">
        <v>0.20852392029379735</v>
      </c>
      <c r="G235" s="300">
        <v>4.7725560458252152E-2</v>
      </c>
      <c r="H235" s="301">
        <v>1.1509338639531345E-3</v>
      </c>
      <c r="I235" s="49" t="s">
        <v>33</v>
      </c>
    </row>
    <row r="236" spans="1:9" ht="17.100000000000001" customHeight="1" x14ac:dyDescent="0.25">
      <c r="A236" s="38"/>
      <c r="B236" s="299">
        <v>0.34200719693256898</v>
      </c>
      <c r="C236" s="300">
        <v>0.12362843812389274</v>
      </c>
      <c r="D236" s="300">
        <v>0.16126950374008117</v>
      </c>
      <c r="E236" s="300">
        <v>7.0191941400831237E-2</v>
      </c>
      <c r="F236" s="300">
        <v>0.2402328251347691</v>
      </c>
      <c r="G236" s="300">
        <v>5.9794846042513422E-2</v>
      </c>
      <c r="H236" s="301">
        <v>2.8752486253377845E-3</v>
      </c>
      <c r="I236" s="49" t="s">
        <v>34</v>
      </c>
    </row>
    <row r="237" spans="1:9" ht="17.100000000000001" customHeight="1" x14ac:dyDescent="0.25">
      <c r="A237" s="38" t="s">
        <v>3</v>
      </c>
      <c r="B237" s="299">
        <v>0.30202677462901872</v>
      </c>
      <c r="C237" s="300">
        <v>0.14728560665399912</v>
      </c>
      <c r="D237" s="300">
        <v>0.15096573086179788</v>
      </c>
      <c r="E237" s="300">
        <v>6.7537356337707272E-2</v>
      </c>
      <c r="F237" s="300">
        <v>0.26239473471355484</v>
      </c>
      <c r="G237" s="300">
        <v>6.733086709546815E-2</v>
      </c>
      <c r="H237" s="301">
        <v>2.4589297084493295E-3</v>
      </c>
      <c r="I237" s="49" t="s">
        <v>3</v>
      </c>
    </row>
    <row r="238" spans="1:9" ht="17.100000000000001" customHeight="1" x14ac:dyDescent="0.25">
      <c r="A238" s="38"/>
      <c r="B238" s="299">
        <v>0.25407776701934098</v>
      </c>
      <c r="C238" s="300">
        <v>0.15331270766450689</v>
      </c>
      <c r="D238" s="300">
        <v>0.15807710153454207</v>
      </c>
      <c r="E238" s="300">
        <v>7.909429834342406E-2</v>
      </c>
      <c r="F238" s="300">
        <v>0.27368732598357692</v>
      </c>
      <c r="G238" s="300">
        <v>7.971700134661254E-2</v>
      </c>
      <c r="H238" s="301">
        <v>2.0337981079923727E-3</v>
      </c>
      <c r="I238" s="49" t="s">
        <v>35</v>
      </c>
    </row>
    <row r="239" spans="1:9" ht="17.100000000000001" customHeight="1" x14ac:dyDescent="0.25">
      <c r="A239" s="38"/>
      <c r="B239" s="299">
        <v>0.21508791329227098</v>
      </c>
      <c r="C239" s="300">
        <v>0.1475851914194623</v>
      </c>
      <c r="D239" s="300">
        <v>0.1535901408426123</v>
      </c>
      <c r="E239" s="300">
        <v>7.4651756879853856E-2</v>
      </c>
      <c r="F239" s="300">
        <v>0.32116976278692488</v>
      </c>
      <c r="G239" s="300">
        <v>8.4902352299546069E-2</v>
      </c>
      <c r="H239" s="301">
        <v>3.0128824793251587E-3</v>
      </c>
      <c r="I239" s="49" t="s">
        <v>36</v>
      </c>
    </row>
    <row r="240" spans="1:9" ht="17.100000000000001" customHeight="1" x14ac:dyDescent="0.25">
      <c r="A240" s="38"/>
      <c r="B240" s="299">
        <v>0.18960008064481415</v>
      </c>
      <c r="C240" s="300">
        <v>0.149575049293035</v>
      </c>
      <c r="D240" s="300">
        <v>0.12585425935684466</v>
      </c>
      <c r="E240" s="300">
        <v>6.8348851193293814E-2</v>
      </c>
      <c r="F240" s="300">
        <v>0.35383411415534821</v>
      </c>
      <c r="G240" s="300">
        <v>0.10817061725193101</v>
      </c>
      <c r="H240" s="301">
        <v>4.6170281047285665E-3</v>
      </c>
      <c r="I240" s="49" t="s">
        <v>37</v>
      </c>
    </row>
    <row r="241" spans="1:9" ht="17.100000000000001" customHeight="1" x14ac:dyDescent="0.25">
      <c r="A241" s="38"/>
      <c r="B241" s="299">
        <v>0.15387723921728946</v>
      </c>
      <c r="C241" s="300">
        <v>0.18211589783256954</v>
      </c>
      <c r="D241" s="300">
        <v>0.1332333980133365</v>
      </c>
      <c r="E241" s="300">
        <v>4.6992553350186886E-2</v>
      </c>
      <c r="F241" s="300">
        <v>0.34264667959002998</v>
      </c>
      <c r="G241" s="300">
        <v>0.13762663975333381</v>
      </c>
      <c r="H241" s="301">
        <v>3.5075922432491785E-3</v>
      </c>
      <c r="I241" s="49" t="s">
        <v>38</v>
      </c>
    </row>
    <row r="242" spans="1:9" ht="17.100000000000001" customHeight="1" x14ac:dyDescent="0.25">
      <c r="A242" s="38"/>
      <c r="B242" s="299">
        <v>0.14281383090052741</v>
      </c>
      <c r="C242" s="300">
        <v>0.16822883735641356</v>
      </c>
      <c r="D242" s="300">
        <v>0.12576493951005008</v>
      </c>
      <c r="E242" s="300">
        <v>5.1831132333641852E-2</v>
      </c>
      <c r="F242" s="300">
        <v>0.34392028867118785</v>
      </c>
      <c r="G242" s="300">
        <v>0.16570601501009755</v>
      </c>
      <c r="H242" s="301">
        <v>1.7349562180771897E-3</v>
      </c>
      <c r="I242" s="49" t="s">
        <v>39</v>
      </c>
    </row>
    <row r="243" spans="1:9" ht="17.100000000000001" customHeight="1" x14ac:dyDescent="0.25">
      <c r="A243" s="38"/>
      <c r="B243" s="299">
        <v>0.10074177693391237</v>
      </c>
      <c r="C243" s="300">
        <v>0.13791750040624015</v>
      </c>
      <c r="D243" s="300">
        <v>0.15347773252418118</v>
      </c>
      <c r="E243" s="300">
        <v>5.5810168204074945E-2</v>
      </c>
      <c r="F243" s="300">
        <v>0.27789732789881105</v>
      </c>
      <c r="G243" s="300">
        <v>0.27316395732078641</v>
      </c>
      <c r="H243" s="301">
        <v>9.9153671198927147E-4</v>
      </c>
      <c r="I243" s="49" t="s">
        <v>40</v>
      </c>
    </row>
    <row r="244" spans="1:9" ht="17.100000000000001" customHeight="1" x14ac:dyDescent="0.25">
      <c r="A244" s="38"/>
      <c r="B244" s="299">
        <v>9.1540934716929728E-2</v>
      </c>
      <c r="C244" s="300">
        <v>0.11224219142336983</v>
      </c>
      <c r="D244" s="300">
        <v>0.14159206589977688</v>
      </c>
      <c r="E244" s="300">
        <v>4.9583353641482454E-2</v>
      </c>
      <c r="F244" s="300">
        <v>0.27114346885364526</v>
      </c>
      <c r="G244" s="300">
        <v>0.33060680142579602</v>
      </c>
      <c r="H244" s="301">
        <v>3.291184038995133E-3</v>
      </c>
      <c r="I244" s="49" t="s">
        <v>41</v>
      </c>
    </row>
    <row r="245" spans="1:9" ht="17.100000000000001" customHeight="1" x14ac:dyDescent="0.25">
      <c r="A245" s="38" t="s">
        <v>4</v>
      </c>
      <c r="B245" s="299">
        <v>7.3819857646004253E-2</v>
      </c>
      <c r="C245" s="300">
        <v>7.1569483099732725E-2</v>
      </c>
      <c r="D245" s="300">
        <v>0.18299423976853743</v>
      </c>
      <c r="E245" s="300">
        <v>4.7390305971055306E-2</v>
      </c>
      <c r="F245" s="300">
        <v>0.24972956644549207</v>
      </c>
      <c r="G245" s="300">
        <v>0.3698414120802555</v>
      </c>
      <c r="H245" s="301">
        <v>4.6551349889179605E-3</v>
      </c>
      <c r="I245" s="49" t="s">
        <v>4</v>
      </c>
    </row>
    <row r="246" spans="1:9" ht="17.100000000000001" customHeight="1" x14ac:dyDescent="0.25">
      <c r="A246" s="38"/>
      <c r="B246" s="299">
        <v>6.3303907028808393E-2</v>
      </c>
      <c r="C246" s="300">
        <v>6.2816665969414098E-2</v>
      </c>
      <c r="D246" s="300">
        <v>0.123084634609503</v>
      </c>
      <c r="E246" s="300">
        <v>5.1122930814911045E-2</v>
      </c>
      <c r="F246" s="300">
        <v>0.25244279055396307</v>
      </c>
      <c r="G246" s="300">
        <v>0.4413966284714344</v>
      </c>
      <c r="H246" s="301">
        <v>5.8324425519611332E-3</v>
      </c>
      <c r="I246" s="49" t="s">
        <v>43</v>
      </c>
    </row>
    <row r="247" spans="1:9" ht="17.100000000000001" customHeight="1" x14ac:dyDescent="0.25">
      <c r="A247" s="38"/>
      <c r="B247" s="299">
        <v>5.6484279164338028E-2</v>
      </c>
      <c r="C247" s="300">
        <v>4.167938839152343E-2</v>
      </c>
      <c r="D247" s="300">
        <v>7.5940935944332016E-2</v>
      </c>
      <c r="E247" s="300">
        <v>0.11394930770356002</v>
      </c>
      <c r="F247" s="300">
        <v>0.21859162890785716</v>
      </c>
      <c r="G247" s="300">
        <v>0.48303692880965043</v>
      </c>
      <c r="H247" s="301">
        <v>1.0317531078733611E-2</v>
      </c>
      <c r="I247" s="49" t="s">
        <v>42</v>
      </c>
    </row>
    <row r="248" spans="1:9" ht="17.100000000000001" customHeight="1" x14ac:dyDescent="0.25">
      <c r="A248" s="38"/>
      <c r="B248" s="299">
        <v>5.3455381546174047E-2</v>
      </c>
      <c r="C248" s="300">
        <v>2.913789532558049E-2</v>
      </c>
      <c r="D248" s="300">
        <v>4.6880135315669487E-2</v>
      </c>
      <c r="E248" s="300">
        <v>0.14507499158876896</v>
      </c>
      <c r="F248" s="300">
        <v>0.2110478329985479</v>
      </c>
      <c r="G248" s="300">
        <v>0.51084036922129628</v>
      </c>
      <c r="H248" s="301">
        <v>3.563394003957731E-3</v>
      </c>
      <c r="I248" s="49" t="s">
        <v>44</v>
      </c>
    </row>
    <row r="249" spans="1:9" ht="17.100000000000001" customHeight="1" x14ac:dyDescent="0.25">
      <c r="A249" s="38"/>
      <c r="B249" s="299">
        <v>4.7414223411766848E-2</v>
      </c>
      <c r="C249" s="300">
        <v>2.259809411521576E-2</v>
      </c>
      <c r="D249" s="300">
        <v>3.4590938310532705E-2</v>
      </c>
      <c r="E249" s="300">
        <v>0.38734870153290785</v>
      </c>
      <c r="F249" s="300">
        <v>0.16087078130141871</v>
      </c>
      <c r="G249" s="300">
        <v>0.33757250972818853</v>
      </c>
      <c r="H249" s="301">
        <v>9.604751599963695E-3</v>
      </c>
      <c r="I249" s="49" t="s">
        <v>45</v>
      </c>
    </row>
    <row r="250" spans="1:9" ht="17.100000000000001" customHeight="1" x14ac:dyDescent="0.25">
      <c r="A250" s="38"/>
      <c r="B250" s="299">
        <v>3.1107180355332918E-2</v>
      </c>
      <c r="C250" s="300">
        <v>1.6545857960732484E-2</v>
      </c>
      <c r="D250" s="300">
        <v>2.1609671573131883E-2</v>
      </c>
      <c r="E250" s="300">
        <v>0.48137994121512023</v>
      </c>
      <c r="F250" s="300">
        <v>0.15473579622615807</v>
      </c>
      <c r="G250" s="300">
        <v>0.29126407565040896</v>
      </c>
      <c r="H250" s="301">
        <v>3.3574770191093809E-3</v>
      </c>
      <c r="I250" s="49" t="s">
        <v>46</v>
      </c>
    </row>
    <row r="251" spans="1:9" ht="17.100000000000001" customHeight="1" x14ac:dyDescent="0.25">
      <c r="A251" s="38"/>
      <c r="B251" s="299">
        <v>2.1656028478841283E-2</v>
      </c>
      <c r="C251" s="300">
        <v>8.3912748824740598E-3</v>
      </c>
      <c r="D251" s="300">
        <v>1.7397829000825704E-2</v>
      </c>
      <c r="E251" s="300">
        <v>0.68307728477361873</v>
      </c>
      <c r="F251" s="300">
        <v>0.10351906526556114</v>
      </c>
      <c r="G251" s="300">
        <v>0.16022620259415579</v>
      </c>
      <c r="H251" s="301">
        <v>5.732315004520097E-3</v>
      </c>
      <c r="I251" s="49" t="s">
        <v>47</v>
      </c>
    </row>
    <row r="252" spans="1:9" ht="17.100000000000001" customHeight="1" x14ac:dyDescent="0.25">
      <c r="A252" s="38"/>
      <c r="B252" s="299">
        <v>1.8455690804384813E-2</v>
      </c>
      <c r="C252" s="300">
        <v>2.9277860388374904E-3</v>
      </c>
      <c r="D252" s="300">
        <v>6.4366632022762153E-3</v>
      </c>
      <c r="E252" s="300">
        <v>0.77598901210739901</v>
      </c>
      <c r="F252" s="300">
        <v>7.872315988463835E-2</v>
      </c>
      <c r="G252" s="300">
        <v>0.1134106057094936</v>
      </c>
      <c r="H252" s="301">
        <v>4.0570822529678906E-3</v>
      </c>
      <c r="I252" s="49" t="s">
        <v>48</v>
      </c>
    </row>
    <row r="253" spans="1:9" ht="17.100000000000001" customHeight="1" x14ac:dyDescent="0.25">
      <c r="A253" s="38" t="s">
        <v>5</v>
      </c>
      <c r="B253" s="299">
        <v>1.7227120851958787E-2</v>
      </c>
      <c r="C253" s="300">
        <v>8.9383150717048864E-4</v>
      </c>
      <c r="D253" s="300">
        <v>9.7816306238045756E-4</v>
      </c>
      <c r="E253" s="300">
        <v>0.89120170453817371</v>
      </c>
      <c r="F253" s="300">
        <v>4.2648449414960259E-2</v>
      </c>
      <c r="G253" s="300">
        <v>4.5758461344305543E-2</v>
      </c>
      <c r="H253" s="301">
        <v>1.2922692810489864E-3</v>
      </c>
      <c r="I253" s="49" t="s">
        <v>5</v>
      </c>
    </row>
    <row r="254" spans="1:9" ht="17.100000000000001" customHeight="1" x14ac:dyDescent="0.25">
      <c r="A254" s="38"/>
      <c r="B254" s="299">
        <v>1.5724492333416825E-2</v>
      </c>
      <c r="C254" s="300">
        <v>5.3803880885094631E-4</v>
      </c>
      <c r="D254" s="300">
        <v>7.0637164803479175E-4</v>
      </c>
      <c r="E254" s="300">
        <v>0.9222591923588126</v>
      </c>
      <c r="F254" s="300">
        <v>2.7988977563419889E-2</v>
      </c>
      <c r="G254" s="300">
        <v>3.2196188950765564E-2</v>
      </c>
      <c r="H254" s="301">
        <v>5.8673833669834147E-4</v>
      </c>
      <c r="I254" s="49" t="s">
        <v>49</v>
      </c>
    </row>
    <row r="255" spans="1:9" ht="17.100000000000001" customHeight="1" x14ac:dyDescent="0.25">
      <c r="A255" s="38"/>
      <c r="B255" s="299">
        <v>1.1857448831971868E-2</v>
      </c>
      <c r="C255" s="300">
        <v>7.4706696591678721E-4</v>
      </c>
      <c r="D255" s="300">
        <v>9.1266612303702731E-4</v>
      </c>
      <c r="E255" s="300">
        <v>0.96415968138134123</v>
      </c>
      <c r="F255" s="300">
        <v>1.301283962264969E-2</v>
      </c>
      <c r="G255" s="300">
        <v>8.9843692887443469E-3</v>
      </c>
      <c r="H255" s="301">
        <v>3.2592778633868595E-4</v>
      </c>
      <c r="I255" s="49" t="s">
        <v>50</v>
      </c>
    </row>
    <row r="256" spans="1:9" ht="17.100000000000001" customHeight="1" x14ac:dyDescent="0.25">
      <c r="A256" s="38"/>
      <c r="B256" s="299">
        <v>1.1436309652393766E-2</v>
      </c>
      <c r="C256" s="300">
        <v>0</v>
      </c>
      <c r="D256" s="300">
        <v>0</v>
      </c>
      <c r="E256" s="300">
        <v>0.96901390349710315</v>
      </c>
      <c r="F256" s="300">
        <v>1.2207830836259306E-2</v>
      </c>
      <c r="G256" s="300">
        <v>7.3419560142436065E-3</v>
      </c>
      <c r="H256" s="301">
        <v>0</v>
      </c>
      <c r="I256" s="49" t="s">
        <v>51</v>
      </c>
    </row>
    <row r="257" spans="1:22" ht="17.100000000000001" customHeight="1" x14ac:dyDescent="0.25">
      <c r="A257" s="38"/>
      <c r="B257" s="299">
        <v>1.1110381866055079E-2</v>
      </c>
      <c r="C257" s="300">
        <v>5.7545988607249441E-4</v>
      </c>
      <c r="D257" s="300">
        <v>3.2592778633868595E-4</v>
      </c>
      <c r="E257" s="300">
        <v>0.97958966562067418</v>
      </c>
      <c r="F257" s="300">
        <v>5.3963802278232118E-3</v>
      </c>
      <c r="G257" s="300">
        <v>3.0021846130362205E-3</v>
      </c>
      <c r="H257" s="301">
        <v>0</v>
      </c>
      <c r="I257" s="49" t="s">
        <v>52</v>
      </c>
    </row>
    <row r="258" spans="1:22" ht="17.100000000000001" customHeight="1" x14ac:dyDescent="0.25">
      <c r="A258" s="38"/>
      <c r="B258" s="299">
        <v>9.7136207321728493E-3</v>
      </c>
      <c r="C258" s="300">
        <v>5.7545988607249441E-4</v>
      </c>
      <c r="D258" s="300">
        <v>1.2182361577489759E-3</v>
      </c>
      <c r="E258" s="300">
        <v>0.98206306686623113</v>
      </c>
      <c r="F258" s="300">
        <v>4.690849283472567E-3</v>
      </c>
      <c r="G258" s="300">
        <v>1.7387670743019168E-3</v>
      </c>
      <c r="H258" s="301">
        <v>0</v>
      </c>
      <c r="I258" s="49" t="s">
        <v>53</v>
      </c>
    </row>
    <row r="259" spans="1:22" ht="17.100000000000001" customHeight="1" x14ac:dyDescent="0.25">
      <c r="A259" s="38"/>
      <c r="B259" s="299">
        <v>9.3958881961414761E-3</v>
      </c>
      <c r="C259" s="300">
        <v>0</v>
      </c>
      <c r="D259" s="300">
        <v>5.7545988607249441E-4</v>
      </c>
      <c r="E259" s="300">
        <v>0.98566701335157036</v>
      </c>
      <c r="F259" s="300">
        <v>2.2366988585601497E-3</v>
      </c>
      <c r="G259" s="300">
        <v>2.1249397076557419E-3</v>
      </c>
      <c r="H259" s="301">
        <v>0</v>
      </c>
      <c r="I259" s="49" t="s">
        <v>54</v>
      </c>
    </row>
    <row r="260" spans="1:22" ht="17.100000000000001" customHeight="1" x14ac:dyDescent="0.25">
      <c r="A260" s="39" t="s">
        <v>6</v>
      </c>
      <c r="B260" s="302">
        <v>1.0605564864296889E-2</v>
      </c>
      <c r="C260" s="303">
        <v>0</v>
      </c>
      <c r="D260" s="303">
        <v>0</v>
      </c>
      <c r="E260" s="303">
        <v>0.98587058886554035</v>
      </c>
      <c r="F260" s="303">
        <v>2.2366988585601497E-3</v>
      </c>
      <c r="G260" s="303">
        <v>1.2871474116028722E-3</v>
      </c>
      <c r="H260" s="304">
        <v>0</v>
      </c>
      <c r="I260" s="50" t="s">
        <v>6</v>
      </c>
    </row>
    <row r="262" spans="1:22" ht="21" customHeight="1" x14ac:dyDescent="0.25">
      <c r="A262" s="1368" t="s">
        <v>703</v>
      </c>
      <c r="B262" s="1365"/>
      <c r="C262" s="1365"/>
      <c r="D262" s="1365"/>
      <c r="E262" s="1365"/>
      <c r="F262" s="1365"/>
      <c r="G262" s="1365"/>
      <c r="H262" s="1366"/>
    </row>
    <row r="263" spans="1:22" ht="36" customHeight="1" x14ac:dyDescent="0.25">
      <c r="A263" s="1359"/>
      <c r="B263" s="34"/>
      <c r="C263" s="35"/>
      <c r="D263" s="35"/>
      <c r="E263" s="35"/>
      <c r="F263" s="35"/>
      <c r="G263" s="35"/>
      <c r="H263" s="36"/>
      <c r="I263" s="1353"/>
      <c r="K263" s="1355" t="s">
        <v>691</v>
      </c>
      <c r="L263" s="1355"/>
      <c r="M263" s="1355"/>
      <c r="N263" s="1355"/>
      <c r="O263" s="1355"/>
      <c r="P263" s="1355"/>
      <c r="Q263" s="1355"/>
      <c r="R263" s="1355"/>
      <c r="S263" s="1355"/>
      <c r="T263" s="1355"/>
      <c r="U263" s="1355"/>
      <c r="V263" s="1355"/>
    </row>
    <row r="264" spans="1:22" ht="26.25" customHeight="1" x14ac:dyDescent="0.25">
      <c r="A264" s="1360"/>
      <c r="B264" s="293" t="s">
        <v>113</v>
      </c>
      <c r="C264" s="293" t="s">
        <v>114</v>
      </c>
      <c r="D264" s="294" t="s">
        <v>409</v>
      </c>
      <c r="E264" s="294" t="s">
        <v>410</v>
      </c>
      <c r="F264" s="294" t="s">
        <v>117</v>
      </c>
      <c r="G264" s="294" t="s">
        <v>411</v>
      </c>
      <c r="H264" s="295" t="s">
        <v>118</v>
      </c>
      <c r="I264" s="1354"/>
    </row>
    <row r="265" spans="1:22" ht="17.100000000000001" customHeight="1" x14ac:dyDescent="0.25">
      <c r="A265" s="37" t="s">
        <v>0</v>
      </c>
      <c r="B265" s="296">
        <v>3.4702162814225041E-3</v>
      </c>
      <c r="C265" s="297">
        <v>2.7376539349880085E-3</v>
      </c>
      <c r="D265" s="297">
        <v>6.7601231833479085E-4</v>
      </c>
      <c r="E265" s="297">
        <v>0.99244580355872392</v>
      </c>
      <c r="F265" s="297">
        <v>0</v>
      </c>
      <c r="G265" s="297">
        <v>6.703139065303913E-4</v>
      </c>
      <c r="H265" s="298">
        <v>0</v>
      </c>
      <c r="I265" s="51" t="s">
        <v>0</v>
      </c>
    </row>
    <row r="266" spans="1:22" ht="17.100000000000001" customHeight="1" x14ac:dyDescent="0.25">
      <c r="A266" s="38"/>
      <c r="B266" s="299">
        <v>4.4131341740817377E-3</v>
      </c>
      <c r="C266" s="300">
        <v>2.3146133682439966E-3</v>
      </c>
      <c r="D266" s="300">
        <v>1.2066485717209718E-3</v>
      </c>
      <c r="E266" s="300">
        <v>0.9914678771040939</v>
      </c>
      <c r="F266" s="300">
        <v>2.6677857054979118E-4</v>
      </c>
      <c r="G266" s="300">
        <v>3.3094821130915308E-4</v>
      </c>
      <c r="H266" s="301">
        <v>0</v>
      </c>
      <c r="I266" s="53" t="s">
        <v>14</v>
      </c>
    </row>
    <row r="267" spans="1:22" ht="17.100000000000001" customHeight="1" x14ac:dyDescent="0.25">
      <c r="A267" s="38"/>
      <c r="B267" s="299">
        <v>1.4300945972094017E-2</v>
      </c>
      <c r="C267" s="300">
        <v>7.7473909808159994E-3</v>
      </c>
      <c r="D267" s="300">
        <v>6.3829068170375989E-3</v>
      </c>
      <c r="E267" s="300">
        <v>0.96946224934077763</v>
      </c>
      <c r="F267" s="300">
        <v>2.1065068892740656E-3</v>
      </c>
      <c r="G267" s="300">
        <v>0</v>
      </c>
      <c r="H267" s="301">
        <v>0</v>
      </c>
      <c r="I267" s="52" t="s">
        <v>15</v>
      </c>
    </row>
    <row r="268" spans="1:22" ht="17.100000000000001" customHeight="1" x14ac:dyDescent="0.25">
      <c r="A268" s="38"/>
      <c r="B268" s="299">
        <v>3.2248516257502288E-2</v>
      </c>
      <c r="C268" s="300">
        <v>1.4878991630163818E-2</v>
      </c>
      <c r="D268" s="300">
        <v>1.2401442182517344E-2</v>
      </c>
      <c r="E268" s="300">
        <v>0.9331488855926463</v>
      </c>
      <c r="F268" s="300">
        <v>5.7373049025698283E-3</v>
      </c>
      <c r="G268" s="300">
        <v>9.4710379274230228E-4</v>
      </c>
      <c r="H268" s="301">
        <v>6.3775564185692888E-4</v>
      </c>
      <c r="I268" s="49" t="s">
        <v>16</v>
      </c>
    </row>
    <row r="269" spans="1:22" ht="17.100000000000001" customHeight="1" x14ac:dyDescent="0.25">
      <c r="A269" s="38"/>
      <c r="B269" s="299">
        <v>6.7164289809682878E-2</v>
      </c>
      <c r="C269" s="300">
        <v>2.9880226944196116E-2</v>
      </c>
      <c r="D269" s="300">
        <v>1.4377337320859543E-2</v>
      </c>
      <c r="E269" s="300">
        <v>0.87765571443281098</v>
      </c>
      <c r="F269" s="300">
        <v>5.3438702332405915E-3</v>
      </c>
      <c r="G269" s="300">
        <v>4.649863063126437E-3</v>
      </c>
      <c r="H269" s="301">
        <v>9.2869819608154894E-4</v>
      </c>
      <c r="I269" s="49" t="s">
        <v>17</v>
      </c>
    </row>
    <row r="270" spans="1:22" ht="17.100000000000001" customHeight="1" x14ac:dyDescent="0.25">
      <c r="A270" s="38"/>
      <c r="B270" s="299">
        <v>0.12080326232100159</v>
      </c>
      <c r="C270" s="300">
        <v>4.8547050681283552E-2</v>
      </c>
      <c r="D270" s="300">
        <v>5.3687784068276255E-2</v>
      </c>
      <c r="E270" s="300">
        <v>0.76517579555268367</v>
      </c>
      <c r="F270" s="300">
        <v>8.3943006052733821E-3</v>
      </c>
      <c r="G270" s="300">
        <v>2.7540511296241812E-3</v>
      </c>
      <c r="H270" s="301">
        <v>6.3775564185692888E-4</v>
      </c>
      <c r="I270" s="49" t="s">
        <v>18</v>
      </c>
    </row>
    <row r="271" spans="1:22" ht="17.100000000000001" customHeight="1" x14ac:dyDescent="0.25">
      <c r="A271" s="38"/>
      <c r="B271" s="299">
        <v>0.18267395469009856</v>
      </c>
      <c r="C271" s="300">
        <v>0.11559977629164306</v>
      </c>
      <c r="D271" s="300">
        <v>6.2300872327359633E-2</v>
      </c>
      <c r="E271" s="300">
        <v>0.61588975092345233</v>
      </c>
      <c r="F271" s="300">
        <v>9.0393991704892079E-3</v>
      </c>
      <c r="G271" s="300">
        <v>1.1613527746593749E-2</v>
      </c>
      <c r="H271" s="301">
        <v>2.8827188503647598E-3</v>
      </c>
      <c r="I271" s="49" t="s">
        <v>19</v>
      </c>
    </row>
    <row r="272" spans="1:22" ht="17.100000000000001" customHeight="1" x14ac:dyDescent="0.25">
      <c r="A272" s="38"/>
      <c r="B272" s="299">
        <v>0.22517858467789129</v>
      </c>
      <c r="C272" s="300">
        <v>0.17720081090032169</v>
      </c>
      <c r="D272" s="300">
        <v>0.14047389665472673</v>
      </c>
      <c r="E272" s="300">
        <v>0.4211400539770595</v>
      </c>
      <c r="F272" s="300">
        <v>1.776149331070179E-2</v>
      </c>
      <c r="G272" s="300">
        <v>1.6231891904147051E-2</v>
      </c>
      <c r="H272" s="301">
        <v>2.0132685751538858E-3</v>
      </c>
      <c r="I272" s="49" t="s">
        <v>20</v>
      </c>
    </row>
    <row r="273" spans="1:9" ht="17.100000000000001" customHeight="1" x14ac:dyDescent="0.25">
      <c r="A273" s="38" t="s">
        <v>1</v>
      </c>
      <c r="B273" s="299">
        <v>0.27680534567532517</v>
      </c>
      <c r="C273" s="300">
        <v>0.2210482588294693</v>
      </c>
      <c r="D273" s="300">
        <v>0.14337321058965879</v>
      </c>
      <c r="E273" s="300">
        <v>0.30721960403134885</v>
      </c>
      <c r="F273" s="300">
        <v>2.7854290189503982E-2</v>
      </c>
      <c r="G273" s="300">
        <v>1.6677724199325682E-2</v>
      </c>
      <c r="H273" s="301">
        <v>7.02156648536972E-3</v>
      </c>
      <c r="I273" s="49" t="s">
        <v>1</v>
      </c>
    </row>
    <row r="274" spans="1:9" ht="17.100000000000001" customHeight="1" x14ac:dyDescent="0.25">
      <c r="A274" s="38"/>
      <c r="B274" s="299">
        <v>0.29075164062929199</v>
      </c>
      <c r="C274" s="300">
        <v>0.2600652267232193</v>
      </c>
      <c r="D274" s="300">
        <v>0.17839054109167193</v>
      </c>
      <c r="E274" s="300">
        <v>0.20318145737393598</v>
      </c>
      <c r="F274" s="300">
        <v>3.8158627796964717E-2</v>
      </c>
      <c r="G274" s="300">
        <v>2.5444487729380308E-2</v>
      </c>
      <c r="H274" s="301">
        <v>4.0080186555369436E-3</v>
      </c>
      <c r="I274" s="49" t="s">
        <v>21</v>
      </c>
    </row>
    <row r="275" spans="1:9" ht="17.100000000000001" customHeight="1" x14ac:dyDescent="0.25">
      <c r="A275" s="38"/>
      <c r="B275" s="299">
        <v>0.2873611640743623</v>
      </c>
      <c r="C275" s="300">
        <v>0.27113854550390115</v>
      </c>
      <c r="D275" s="300">
        <v>0.20536781167213689</v>
      </c>
      <c r="E275" s="300">
        <v>0.15409794148719896</v>
      </c>
      <c r="F275" s="300">
        <v>5.2644667850870207E-2</v>
      </c>
      <c r="G275" s="300">
        <v>2.4574683381982643E-2</v>
      </c>
      <c r="H275" s="301">
        <v>4.8151860295491703E-3</v>
      </c>
      <c r="I275" s="49" t="s">
        <v>22</v>
      </c>
    </row>
    <row r="276" spans="1:9" ht="17.100000000000001" customHeight="1" x14ac:dyDescent="0.25">
      <c r="A276" s="38"/>
      <c r="B276" s="299">
        <v>0.30750257579996304</v>
      </c>
      <c r="C276" s="300">
        <v>0.30162994142188376</v>
      </c>
      <c r="D276" s="300">
        <v>0.16698769149146339</v>
      </c>
      <c r="E276" s="300">
        <v>0.11005628917519882</v>
      </c>
      <c r="F276" s="300">
        <v>7.7495143087767074E-2</v>
      </c>
      <c r="G276" s="300">
        <v>3.3098732569206916E-2</v>
      </c>
      <c r="H276" s="301">
        <v>3.2296264545175137E-3</v>
      </c>
      <c r="I276" s="49" t="s">
        <v>23</v>
      </c>
    </row>
    <row r="277" spans="1:9" ht="17.100000000000001" customHeight="1" x14ac:dyDescent="0.25">
      <c r="A277" s="38"/>
      <c r="B277" s="299">
        <v>0.25116954965041616</v>
      </c>
      <c r="C277" s="300">
        <v>0.35315002855947336</v>
      </c>
      <c r="D277" s="300">
        <v>0.18554058519524022</v>
      </c>
      <c r="E277" s="300">
        <v>7.0942475700144836E-2</v>
      </c>
      <c r="F277" s="300">
        <v>9.8079054960563961E-2</v>
      </c>
      <c r="G277" s="300">
        <v>3.6391265912607634E-2</v>
      </c>
      <c r="H277" s="301">
        <v>4.7270400215546488E-3</v>
      </c>
      <c r="I277" s="49" t="s">
        <v>24</v>
      </c>
    </row>
    <row r="278" spans="1:9" ht="17.100000000000001" customHeight="1" x14ac:dyDescent="0.25">
      <c r="A278" s="38"/>
      <c r="B278" s="299">
        <v>0.30486173029695818</v>
      </c>
      <c r="C278" s="300">
        <v>0.35745209161284569</v>
      </c>
      <c r="D278" s="300">
        <v>0.12795992372027368</v>
      </c>
      <c r="E278" s="300">
        <v>4.2330680825978816E-2</v>
      </c>
      <c r="F278" s="300">
        <v>0.11850395669296945</v>
      </c>
      <c r="G278" s="300">
        <v>4.6773389323722873E-2</v>
      </c>
      <c r="H278" s="301">
        <v>2.1182275272517612E-3</v>
      </c>
      <c r="I278" s="49" t="s">
        <v>25</v>
      </c>
    </row>
    <row r="279" spans="1:9" ht="17.100000000000001" customHeight="1" x14ac:dyDescent="0.25">
      <c r="A279" s="38"/>
      <c r="B279" s="299">
        <v>0.31481685806927145</v>
      </c>
      <c r="C279" s="300">
        <v>0.35127011076618297</v>
      </c>
      <c r="D279" s="300">
        <v>9.4220141986310194E-2</v>
      </c>
      <c r="E279" s="300">
        <v>3.5953838477108251E-2</v>
      </c>
      <c r="F279" s="300">
        <v>0.15203284170618483</v>
      </c>
      <c r="G279" s="300">
        <v>4.6175543852096788E-2</v>
      </c>
      <c r="H279" s="301">
        <v>5.5306651428461652E-3</v>
      </c>
      <c r="I279" s="49" t="s">
        <v>27</v>
      </c>
    </row>
    <row r="280" spans="1:9" ht="17.100000000000001" customHeight="1" x14ac:dyDescent="0.25">
      <c r="A280" s="38"/>
      <c r="B280" s="299">
        <v>0.34318992714028002</v>
      </c>
      <c r="C280" s="300">
        <v>0.36549069681320762</v>
      </c>
      <c r="D280" s="300">
        <v>6.3956519520893818E-2</v>
      </c>
      <c r="E280" s="300">
        <v>2.8286460284298445E-2</v>
      </c>
      <c r="F280" s="300">
        <v>0.14872070043072991</v>
      </c>
      <c r="G280" s="300">
        <v>4.6368976904922671E-2</v>
      </c>
      <c r="H280" s="301">
        <v>3.9867189056683877E-3</v>
      </c>
      <c r="I280" s="49" t="s">
        <v>26</v>
      </c>
    </row>
    <row r="281" spans="1:9" ht="17.100000000000001" customHeight="1" x14ac:dyDescent="0.25">
      <c r="A281" s="38" t="s">
        <v>2</v>
      </c>
      <c r="B281" s="299">
        <v>0.35083567030696577</v>
      </c>
      <c r="C281" s="300">
        <v>0.34821290839435209</v>
      </c>
      <c r="D281" s="300">
        <v>8.1182149775953227E-2</v>
      </c>
      <c r="E281" s="300">
        <v>2.6632344293126175E-2</v>
      </c>
      <c r="F281" s="300">
        <v>0.14674055322913804</v>
      </c>
      <c r="G281" s="300">
        <v>4.2906918457482686E-2</v>
      </c>
      <c r="H281" s="301">
        <v>3.4894555429823091E-3</v>
      </c>
      <c r="I281" s="49" t="s">
        <v>2</v>
      </c>
    </row>
    <row r="282" spans="1:9" ht="17.100000000000001" customHeight="1" x14ac:dyDescent="0.25">
      <c r="A282" s="38"/>
      <c r="B282" s="299">
        <v>0.37226912342067892</v>
      </c>
      <c r="C282" s="300">
        <v>0.33724879705988475</v>
      </c>
      <c r="D282" s="300">
        <v>6.1366387836994891E-2</v>
      </c>
      <c r="E282" s="300">
        <v>2.7180255209784964E-2</v>
      </c>
      <c r="F282" s="300">
        <v>0.15052812963802126</v>
      </c>
      <c r="G282" s="300">
        <v>4.8411534291154752E-2</v>
      </c>
      <c r="H282" s="301">
        <v>2.9957725434808635E-3</v>
      </c>
      <c r="I282" s="49" t="s">
        <v>28</v>
      </c>
    </row>
    <row r="283" spans="1:9" ht="17.100000000000001" customHeight="1" x14ac:dyDescent="0.25">
      <c r="A283" s="38"/>
      <c r="B283" s="299">
        <v>0.3355947107537896</v>
      </c>
      <c r="C283" s="300">
        <v>0.31386529827419085</v>
      </c>
      <c r="D283" s="300">
        <v>0.11757503581053647</v>
      </c>
      <c r="E283" s="300">
        <v>3.281745960258553E-2</v>
      </c>
      <c r="F283" s="300">
        <v>0.15608959103189329</v>
      </c>
      <c r="G283" s="300">
        <v>4.0775179842081372E-2</v>
      </c>
      <c r="H283" s="301">
        <v>3.2827246849234802E-3</v>
      </c>
      <c r="I283" s="49" t="s">
        <v>29</v>
      </c>
    </row>
    <row r="284" spans="1:9" ht="17.100000000000001" customHeight="1" x14ac:dyDescent="0.25">
      <c r="A284" s="38"/>
      <c r="B284" s="299">
        <v>0.34579665810591897</v>
      </c>
      <c r="C284" s="300">
        <v>0.31230657680633606</v>
      </c>
      <c r="D284" s="300">
        <v>9.384192569067204E-2</v>
      </c>
      <c r="E284" s="300">
        <v>2.8306939070537593E-2</v>
      </c>
      <c r="F284" s="300">
        <v>0.17141746414478218</v>
      </c>
      <c r="G284" s="300">
        <v>4.456463304740655E-2</v>
      </c>
      <c r="H284" s="301">
        <v>3.7658031343473885E-3</v>
      </c>
      <c r="I284" s="49" t="s">
        <v>30</v>
      </c>
    </row>
    <row r="285" spans="1:9" ht="17.100000000000001" customHeight="1" x14ac:dyDescent="0.25">
      <c r="A285" s="38"/>
      <c r="B285" s="299">
        <v>0.33237522054892776</v>
      </c>
      <c r="C285" s="300">
        <v>0.27436914775909549</v>
      </c>
      <c r="D285" s="300">
        <v>0.14998012009596709</v>
      </c>
      <c r="E285" s="300">
        <v>3.9459215362935729E-2</v>
      </c>
      <c r="F285" s="300">
        <v>0.16373931999803523</v>
      </c>
      <c r="G285" s="300">
        <v>3.8496330956663209E-2</v>
      </c>
      <c r="H285" s="301">
        <v>1.5806452783766176E-3</v>
      </c>
      <c r="I285" s="49" t="s">
        <v>31</v>
      </c>
    </row>
    <row r="286" spans="1:9" ht="17.100000000000001" customHeight="1" x14ac:dyDescent="0.25">
      <c r="A286" s="38"/>
      <c r="B286" s="299">
        <v>0.31284738415848012</v>
      </c>
      <c r="C286" s="300">
        <v>0.27593111958672017</v>
      </c>
      <c r="D286" s="300">
        <v>0.15169845242817315</v>
      </c>
      <c r="E286" s="300">
        <v>3.1151390899092305E-2</v>
      </c>
      <c r="F286" s="300">
        <v>0.17890089512079851</v>
      </c>
      <c r="G286" s="300">
        <v>4.4051561475710981E-2</v>
      </c>
      <c r="H286" s="301">
        <v>5.419196331025734E-3</v>
      </c>
      <c r="I286" s="49" t="s">
        <v>32</v>
      </c>
    </row>
    <row r="287" spans="1:9" ht="17.100000000000001" customHeight="1" x14ac:dyDescent="0.25">
      <c r="A287" s="38"/>
      <c r="B287" s="299">
        <v>0.28563113892028147</v>
      </c>
      <c r="C287" s="300">
        <v>0.24224863720580458</v>
      </c>
      <c r="D287" s="300">
        <v>0.15482882231537784</v>
      </c>
      <c r="E287" s="300">
        <v>4.3362009136711031E-2</v>
      </c>
      <c r="F287" s="300">
        <v>0.21442993590741685</v>
      </c>
      <c r="G287" s="300">
        <v>5.8612711393899994E-2</v>
      </c>
      <c r="H287" s="301">
        <v>8.8674512050967449E-4</v>
      </c>
      <c r="I287" s="49" t="s">
        <v>33</v>
      </c>
    </row>
    <row r="288" spans="1:9" ht="17.100000000000001" customHeight="1" x14ac:dyDescent="0.25">
      <c r="A288" s="38"/>
      <c r="B288" s="299">
        <v>0.23322615812867517</v>
      </c>
      <c r="C288" s="300">
        <v>0.24686567876817683</v>
      </c>
      <c r="D288" s="300">
        <v>0.16571867443275162</v>
      </c>
      <c r="E288" s="300">
        <v>4.0711141953625206E-2</v>
      </c>
      <c r="F288" s="300">
        <v>0.24372870337639077</v>
      </c>
      <c r="G288" s="300">
        <v>6.9081074953943181E-2</v>
      </c>
      <c r="H288" s="301">
        <v>6.6856838643904128E-4</v>
      </c>
      <c r="I288" s="49" t="s">
        <v>34</v>
      </c>
    </row>
    <row r="289" spans="1:9" ht="17.100000000000001" customHeight="1" x14ac:dyDescent="0.25">
      <c r="A289" s="38" t="s">
        <v>3</v>
      </c>
      <c r="B289" s="299">
        <v>0.19515021753588971</v>
      </c>
      <c r="C289" s="300">
        <v>0.26145391090018527</v>
      </c>
      <c r="D289" s="300">
        <v>0.13656481818665608</v>
      </c>
      <c r="E289" s="300">
        <v>5.6560804389681883E-2</v>
      </c>
      <c r="F289" s="300">
        <v>0.25751215746948364</v>
      </c>
      <c r="G289" s="300">
        <v>9.1409557108534864E-2</v>
      </c>
      <c r="H289" s="301">
        <v>1.3485344095696809E-3</v>
      </c>
      <c r="I289" s="49" t="s">
        <v>3</v>
      </c>
    </row>
    <row r="290" spans="1:9" ht="17.100000000000001" customHeight="1" x14ac:dyDescent="0.25">
      <c r="A290" s="38"/>
      <c r="B290" s="299">
        <v>0.16301159670392951</v>
      </c>
      <c r="C290" s="300">
        <v>0.25544483382429278</v>
      </c>
      <c r="D290" s="300">
        <v>0.13623730783271656</v>
      </c>
      <c r="E290" s="300">
        <v>5.647970527816297E-2</v>
      </c>
      <c r="F290" s="300">
        <v>0.2884397240000614</v>
      </c>
      <c r="G290" s="300">
        <v>9.8093549098231078E-2</v>
      </c>
      <c r="H290" s="301">
        <v>2.293283262606847E-3</v>
      </c>
      <c r="I290" s="49" t="s">
        <v>35</v>
      </c>
    </row>
    <row r="291" spans="1:9" ht="17.100000000000001" customHeight="1" x14ac:dyDescent="0.25">
      <c r="A291" s="38"/>
      <c r="B291" s="299">
        <v>0.14016061281660316</v>
      </c>
      <c r="C291" s="300">
        <v>0.28328020403816634</v>
      </c>
      <c r="D291" s="300">
        <v>0.14240612631309282</v>
      </c>
      <c r="E291" s="300">
        <v>4.8071980084344199E-2</v>
      </c>
      <c r="F291" s="300">
        <v>0.29034348912338492</v>
      </c>
      <c r="G291" s="300">
        <v>9.343021976428241E-2</v>
      </c>
      <c r="H291" s="301">
        <v>2.3073678601271018E-3</v>
      </c>
      <c r="I291" s="49" t="s">
        <v>36</v>
      </c>
    </row>
    <row r="292" spans="1:9" ht="17.100000000000001" customHeight="1" x14ac:dyDescent="0.25">
      <c r="A292" s="38"/>
      <c r="B292" s="299">
        <v>0.12434379754925154</v>
      </c>
      <c r="C292" s="300">
        <v>0.26196076412926234</v>
      </c>
      <c r="D292" s="300">
        <v>0.13694072606880067</v>
      </c>
      <c r="E292" s="300">
        <v>4.7007279704467608E-2</v>
      </c>
      <c r="F292" s="300">
        <v>0.31166910777637069</v>
      </c>
      <c r="G292" s="300">
        <v>0.11556357972101095</v>
      </c>
      <c r="H292" s="301">
        <v>2.514745050836739E-3</v>
      </c>
      <c r="I292" s="49" t="s">
        <v>37</v>
      </c>
    </row>
    <row r="293" spans="1:9" ht="17.100000000000001" customHeight="1" x14ac:dyDescent="0.25">
      <c r="A293" s="38"/>
      <c r="B293" s="299">
        <v>9.5527869677189944E-2</v>
      </c>
      <c r="C293" s="300">
        <v>0.28464661779302358</v>
      </c>
      <c r="D293" s="300">
        <v>0.12736701526008704</v>
      </c>
      <c r="E293" s="300">
        <v>3.6764327337868108E-2</v>
      </c>
      <c r="F293" s="300">
        <v>0.31718973917001114</v>
      </c>
      <c r="G293" s="300">
        <v>0.13667321824511908</v>
      </c>
      <c r="H293" s="301">
        <v>1.8312125167015939E-3</v>
      </c>
      <c r="I293" s="49" t="s">
        <v>38</v>
      </c>
    </row>
    <row r="294" spans="1:9" ht="17.100000000000001" customHeight="1" x14ac:dyDescent="0.25">
      <c r="A294" s="38"/>
      <c r="B294" s="299">
        <v>9.275295857408955E-2</v>
      </c>
      <c r="C294" s="300">
        <v>0.27501042142185039</v>
      </c>
      <c r="D294" s="300">
        <v>0.12209779768491343</v>
      </c>
      <c r="E294" s="300">
        <v>3.9936956786314398E-2</v>
      </c>
      <c r="F294" s="300">
        <v>0.31762920396598515</v>
      </c>
      <c r="G294" s="300">
        <v>0.15189348098379876</v>
      </c>
      <c r="H294" s="301">
        <v>6.7918058304918493E-4</v>
      </c>
      <c r="I294" s="49" t="s">
        <v>39</v>
      </c>
    </row>
    <row r="295" spans="1:9" ht="17.100000000000001" customHeight="1" x14ac:dyDescent="0.25">
      <c r="A295" s="38"/>
      <c r="B295" s="299">
        <v>7.3009265086739689E-2</v>
      </c>
      <c r="C295" s="300">
        <v>0.24878204525299336</v>
      </c>
      <c r="D295" s="300">
        <v>0.15061808360258433</v>
      </c>
      <c r="E295" s="300">
        <v>3.8705510408560032E-2</v>
      </c>
      <c r="F295" s="300">
        <v>0.21854106810002569</v>
      </c>
      <c r="G295" s="300">
        <v>0.2703440275490987</v>
      </c>
      <c r="H295" s="301">
        <v>0</v>
      </c>
      <c r="I295" s="49" t="s">
        <v>40</v>
      </c>
    </row>
    <row r="296" spans="1:9" ht="17.100000000000001" customHeight="1" x14ac:dyDescent="0.25">
      <c r="A296" s="38"/>
      <c r="B296" s="299">
        <v>6.7575966991157352E-2</v>
      </c>
      <c r="C296" s="300">
        <v>0.24168118178004852</v>
      </c>
      <c r="D296" s="300">
        <v>0.16155268021714936</v>
      </c>
      <c r="E296" s="300">
        <v>3.8392743398587732E-2</v>
      </c>
      <c r="F296" s="300">
        <v>0.20580213130332864</v>
      </c>
      <c r="G296" s="300">
        <v>0.28441876686787992</v>
      </c>
      <c r="H296" s="301">
        <v>5.765294418496208E-4</v>
      </c>
      <c r="I296" s="49" t="s">
        <v>41</v>
      </c>
    </row>
    <row r="297" spans="1:9" ht="17.100000000000001" customHeight="1" x14ac:dyDescent="0.25">
      <c r="A297" s="38" t="s">
        <v>4</v>
      </c>
      <c r="B297" s="299">
        <v>6.3279834210882985E-2</v>
      </c>
      <c r="C297" s="300">
        <v>0.20029702805491376</v>
      </c>
      <c r="D297" s="300">
        <v>0.17850911234229777</v>
      </c>
      <c r="E297" s="300">
        <v>4.9368802340084228E-2</v>
      </c>
      <c r="F297" s="300">
        <v>0.17083768328051185</v>
      </c>
      <c r="G297" s="300">
        <v>0.33602847186355972</v>
      </c>
      <c r="H297" s="301">
        <v>1.6790679077501426E-3</v>
      </c>
      <c r="I297" s="49" t="s">
        <v>4</v>
      </c>
    </row>
    <row r="298" spans="1:9" ht="17.100000000000001" customHeight="1" x14ac:dyDescent="0.25">
      <c r="A298" s="38"/>
      <c r="B298" s="299">
        <v>5.8831713896434351E-2</v>
      </c>
      <c r="C298" s="300">
        <v>0.16974050042653352</v>
      </c>
      <c r="D298" s="300">
        <v>0.1038679124317278</v>
      </c>
      <c r="E298" s="300">
        <v>5.7444150746831922E-2</v>
      </c>
      <c r="F298" s="300">
        <v>0.1779969717691029</v>
      </c>
      <c r="G298" s="300">
        <v>0.42830774039019898</v>
      </c>
      <c r="H298" s="301">
        <v>3.8110103391715126E-3</v>
      </c>
      <c r="I298" s="49" t="s">
        <v>43</v>
      </c>
    </row>
    <row r="299" spans="1:9" ht="17.100000000000001" customHeight="1" x14ac:dyDescent="0.25">
      <c r="A299" s="38"/>
      <c r="B299" s="299">
        <v>4.7796910526033125E-2</v>
      </c>
      <c r="C299" s="300">
        <v>0.1303883748875575</v>
      </c>
      <c r="D299" s="300">
        <v>6.6770963959216362E-2</v>
      </c>
      <c r="E299" s="300">
        <v>0.12472716249562117</v>
      </c>
      <c r="F299" s="300">
        <v>0.15759448479582625</v>
      </c>
      <c r="G299" s="300">
        <v>0.4720215462600873</v>
      </c>
      <c r="H299" s="301">
        <v>7.0055707565977606E-4</v>
      </c>
      <c r="I299" s="49" t="s">
        <v>42</v>
      </c>
    </row>
    <row r="300" spans="1:9" ht="17.100000000000001" customHeight="1" x14ac:dyDescent="0.25">
      <c r="A300" s="38"/>
      <c r="B300" s="299">
        <v>5.140251966369408E-2</v>
      </c>
      <c r="C300" s="300">
        <v>0.10192949297808004</v>
      </c>
      <c r="D300" s="300">
        <v>3.2967040974339099E-2</v>
      </c>
      <c r="E300" s="300">
        <v>0.15779839434072726</v>
      </c>
      <c r="F300" s="300">
        <v>0.14910104778169947</v>
      </c>
      <c r="G300" s="300">
        <v>0.50317498209491351</v>
      </c>
      <c r="H300" s="301">
        <v>3.6265221665480142E-3</v>
      </c>
      <c r="I300" s="49" t="s">
        <v>44</v>
      </c>
    </row>
    <row r="301" spans="1:9" ht="17.100000000000001" customHeight="1" x14ac:dyDescent="0.25">
      <c r="A301" s="38"/>
      <c r="B301" s="299">
        <v>4.3716150429263037E-2</v>
      </c>
      <c r="C301" s="300">
        <v>6.6497229123768389E-2</v>
      </c>
      <c r="D301" s="300">
        <v>1.1000416532134931E-2</v>
      </c>
      <c r="E301" s="300">
        <v>0.40512417826953351</v>
      </c>
      <c r="F301" s="300">
        <v>0.1395395804845059</v>
      </c>
      <c r="G301" s="300">
        <v>0.33101209628161077</v>
      </c>
      <c r="H301" s="301">
        <v>3.1103488791839134E-3</v>
      </c>
      <c r="I301" s="49" t="s">
        <v>45</v>
      </c>
    </row>
    <row r="302" spans="1:9" ht="17.100000000000001" customHeight="1" x14ac:dyDescent="0.25">
      <c r="A302" s="38"/>
      <c r="B302" s="299">
        <v>2.8392153559844112E-2</v>
      </c>
      <c r="C302" s="300">
        <v>3.9895634438313607E-2</v>
      </c>
      <c r="D302" s="300">
        <v>1.2559061052953246E-2</v>
      </c>
      <c r="E302" s="300">
        <v>0.50500811120571076</v>
      </c>
      <c r="F302" s="300">
        <v>0.12052940805853371</v>
      </c>
      <c r="G302" s="300">
        <v>0.28979888751763239</v>
      </c>
      <c r="H302" s="301">
        <v>3.8167441670141204E-3</v>
      </c>
      <c r="I302" s="49" t="s">
        <v>46</v>
      </c>
    </row>
    <row r="303" spans="1:9" ht="17.100000000000001" customHeight="1" x14ac:dyDescent="0.25">
      <c r="A303" s="38"/>
      <c r="B303" s="299">
        <v>2.4390118774464974E-2</v>
      </c>
      <c r="C303" s="300">
        <v>2.5648320495707057E-2</v>
      </c>
      <c r="D303" s="300">
        <v>4.924308704227282E-3</v>
      </c>
      <c r="E303" s="300">
        <v>0.72112116597469167</v>
      </c>
      <c r="F303" s="300">
        <v>8.5130308752321818E-2</v>
      </c>
      <c r="G303" s="300">
        <v>0.13878577729858899</v>
      </c>
      <c r="H303" s="301">
        <v>0</v>
      </c>
      <c r="I303" s="49" t="s">
        <v>47</v>
      </c>
    </row>
    <row r="304" spans="1:9" ht="17.100000000000001" customHeight="1" x14ac:dyDescent="0.25">
      <c r="A304" s="38"/>
      <c r="B304" s="299">
        <v>1.8182046099359465E-2</v>
      </c>
      <c r="C304" s="300">
        <v>1.2727544334337955E-2</v>
      </c>
      <c r="D304" s="300">
        <v>4.0876555861148883E-3</v>
      </c>
      <c r="E304" s="300">
        <v>0.81388812458790261</v>
      </c>
      <c r="F304" s="300">
        <v>6.3272172176629934E-2</v>
      </c>
      <c r="G304" s="300">
        <v>8.6249705438263297E-2</v>
      </c>
      <c r="H304" s="301">
        <v>1.5927517773919541E-3</v>
      </c>
      <c r="I304" s="49" t="s">
        <v>48</v>
      </c>
    </row>
    <row r="305" spans="1:9" ht="17.100000000000001" customHeight="1" x14ac:dyDescent="0.25">
      <c r="A305" s="38" t="s">
        <v>5</v>
      </c>
      <c r="B305" s="299">
        <v>9.5826705662119867E-3</v>
      </c>
      <c r="C305" s="300">
        <v>4.7546937616346407E-3</v>
      </c>
      <c r="D305" s="300">
        <v>2.6690557432444304E-4</v>
      </c>
      <c r="E305" s="300">
        <v>0.92367328925312531</v>
      </c>
      <c r="F305" s="300">
        <v>3.3448899903516141E-2</v>
      </c>
      <c r="G305" s="300">
        <v>2.6525465092435446E-2</v>
      </c>
      <c r="H305" s="301">
        <v>1.7480758487522742E-3</v>
      </c>
      <c r="I305" s="49" t="s">
        <v>5</v>
      </c>
    </row>
    <row r="306" spans="1:9" ht="17.100000000000001" customHeight="1" x14ac:dyDescent="0.25">
      <c r="A306" s="38"/>
      <c r="B306" s="299">
        <v>7.1786758319578947E-3</v>
      </c>
      <c r="C306" s="300">
        <v>3.8847480125782418E-3</v>
      </c>
      <c r="D306" s="300">
        <v>8.313754817476642E-4</v>
      </c>
      <c r="E306" s="300">
        <v>0.96078636155975805</v>
      </c>
      <c r="F306" s="300">
        <v>1.2363047728476748E-2</v>
      </c>
      <c r="G306" s="300">
        <v>1.3945262057028427E-2</v>
      </c>
      <c r="H306" s="301">
        <v>1.0105293284532167E-3</v>
      </c>
      <c r="I306" s="49" t="s">
        <v>49</v>
      </c>
    </row>
    <row r="307" spans="1:9" ht="17.100000000000001" customHeight="1" x14ac:dyDescent="0.25">
      <c r="A307" s="38"/>
      <c r="B307" s="299">
        <v>2.3228766663169159E-3</v>
      </c>
      <c r="C307" s="300">
        <v>1.7450029432764858E-3</v>
      </c>
      <c r="D307" s="300">
        <v>0</v>
      </c>
      <c r="E307" s="300">
        <v>0.98300529401698555</v>
      </c>
      <c r="F307" s="300">
        <v>6.706550939778397E-3</v>
      </c>
      <c r="G307" s="300">
        <v>6.2202754336423902E-3</v>
      </c>
      <c r="H307" s="301">
        <v>0</v>
      </c>
      <c r="I307" s="49" t="s">
        <v>50</v>
      </c>
    </row>
    <row r="308" spans="1:9" ht="17.100000000000001" customHeight="1" x14ac:dyDescent="0.25">
      <c r="A308" s="38"/>
      <c r="B308" s="299">
        <v>2.3228766663169159E-3</v>
      </c>
      <c r="C308" s="300">
        <v>1.4056372480552471E-3</v>
      </c>
      <c r="D308" s="300">
        <v>0</v>
      </c>
      <c r="E308" s="300">
        <v>0.98634506239835373</v>
      </c>
      <c r="F308" s="300">
        <v>3.8525069219222576E-3</v>
      </c>
      <c r="G308" s="300">
        <v>6.073916765351673E-3</v>
      </c>
      <c r="H308" s="301">
        <v>0</v>
      </c>
      <c r="I308" s="49" t="s">
        <v>51</v>
      </c>
    </row>
    <row r="309" spans="1:9" ht="17.100000000000001" customHeight="1" x14ac:dyDescent="0.25">
      <c r="A309" s="38"/>
      <c r="B309" s="299">
        <v>1.9980226913497616E-3</v>
      </c>
      <c r="C309" s="300">
        <v>1.9792888325515143E-3</v>
      </c>
      <c r="D309" s="300">
        <v>0</v>
      </c>
      <c r="E309" s="300">
        <v>0.99261648967541438</v>
      </c>
      <c r="F309" s="300">
        <v>2.7274674102413989E-3</v>
      </c>
      <c r="G309" s="300">
        <v>6.7873139044247665E-4</v>
      </c>
      <c r="H309" s="301">
        <v>0</v>
      </c>
      <c r="I309" s="49" t="s">
        <v>52</v>
      </c>
    </row>
    <row r="310" spans="1:9" ht="17.100000000000001" customHeight="1" x14ac:dyDescent="0.25">
      <c r="A310" s="38"/>
      <c r="B310" s="299">
        <v>1.1666472096020972E-3</v>
      </c>
      <c r="C310" s="300">
        <v>6.6854929144980824E-4</v>
      </c>
      <c r="D310" s="300">
        <v>0</v>
      </c>
      <c r="E310" s="300">
        <v>0.99446991537967866</v>
      </c>
      <c r="F310" s="300">
        <v>2.5241469422999864E-3</v>
      </c>
      <c r="G310" s="300">
        <v>3.3936569522123833E-4</v>
      </c>
      <c r="H310" s="301">
        <v>8.313754817476642E-4</v>
      </c>
      <c r="I310" s="49" t="s">
        <v>53</v>
      </c>
    </row>
    <row r="311" spans="1:9" ht="17.100000000000001" customHeight="1" x14ac:dyDescent="0.25">
      <c r="A311" s="38"/>
      <c r="B311" s="299">
        <v>1.1666472096020972E-3</v>
      </c>
      <c r="C311" s="300">
        <v>0</v>
      </c>
      <c r="D311" s="300">
        <v>0</v>
      </c>
      <c r="E311" s="300">
        <v>0.99652563706207697</v>
      </c>
      <c r="F311" s="300">
        <v>1.9683500330994648E-3</v>
      </c>
      <c r="G311" s="300">
        <v>3.3936569522123833E-4</v>
      </c>
      <c r="H311" s="301">
        <v>0</v>
      </c>
      <c r="I311" s="49" t="s">
        <v>54</v>
      </c>
    </row>
    <row r="312" spans="1:9" ht="17.100000000000001" customHeight="1" x14ac:dyDescent="0.25">
      <c r="A312" s="39" t="s">
        <v>6</v>
      </c>
      <c r="B312" s="302">
        <v>1.1666472096020972E-3</v>
      </c>
      <c r="C312" s="303">
        <v>8.313754817476642E-4</v>
      </c>
      <c r="D312" s="303">
        <v>0</v>
      </c>
      <c r="E312" s="303">
        <v>0.99603362727555056</v>
      </c>
      <c r="F312" s="303">
        <v>1.9683500330994648E-3</v>
      </c>
      <c r="G312" s="303">
        <v>0</v>
      </c>
      <c r="H312" s="304">
        <v>0</v>
      </c>
      <c r="I312" s="50" t="s">
        <v>6</v>
      </c>
    </row>
    <row r="314" spans="1:9" ht="21" customHeight="1" x14ac:dyDescent="0.25">
      <c r="A314" s="1368" t="s">
        <v>704</v>
      </c>
      <c r="B314" s="1365"/>
      <c r="C314" s="1365"/>
      <c r="D314" s="1365"/>
      <c r="E314" s="1365"/>
      <c r="F314" s="1365"/>
      <c r="G314" s="1365"/>
      <c r="H314" s="1366"/>
    </row>
    <row r="315" spans="1:9" ht="15.95" customHeight="1" x14ac:dyDescent="0.25">
      <c r="A315" s="1359"/>
      <c r="B315" s="34"/>
      <c r="C315" s="35"/>
      <c r="D315" s="35"/>
      <c r="E315" s="35"/>
      <c r="F315" s="35"/>
      <c r="G315" s="35"/>
      <c r="H315" s="36"/>
      <c r="I315" s="1353"/>
    </row>
    <row r="316" spans="1:9" ht="25.5" customHeight="1" x14ac:dyDescent="0.25">
      <c r="A316" s="1360"/>
      <c r="B316" s="293" t="s">
        <v>113</v>
      </c>
      <c r="C316" s="293" t="s">
        <v>114</v>
      </c>
      <c r="D316" s="294" t="s">
        <v>409</v>
      </c>
      <c r="E316" s="294" t="s">
        <v>410</v>
      </c>
      <c r="F316" s="294" t="s">
        <v>117</v>
      </c>
      <c r="G316" s="294" t="s">
        <v>411</v>
      </c>
      <c r="H316" s="295" t="s">
        <v>118</v>
      </c>
      <c r="I316" s="1354"/>
    </row>
    <row r="317" spans="1:9" ht="17.100000000000001" customHeight="1" x14ac:dyDescent="0.25">
      <c r="A317" s="37" t="s">
        <v>0</v>
      </c>
      <c r="B317" s="326">
        <v>7.5574197828525702E-3</v>
      </c>
      <c r="C317" s="327">
        <v>1.1801163695172221E-3</v>
      </c>
      <c r="D317" s="327">
        <v>2.3827166194807992E-4</v>
      </c>
      <c r="E317" s="327">
        <v>0.98700598184552346</v>
      </c>
      <c r="F317" s="327">
        <v>3.1572299352214659E-3</v>
      </c>
      <c r="G317" s="327">
        <v>8.6098040493713006E-4</v>
      </c>
      <c r="H317" s="328">
        <v>0</v>
      </c>
      <c r="I317" s="51" t="s">
        <v>0</v>
      </c>
    </row>
    <row r="318" spans="1:9" ht="17.100000000000001" customHeight="1" x14ac:dyDescent="0.25">
      <c r="A318" s="38"/>
      <c r="B318" s="299">
        <v>8.6123635927749694E-3</v>
      </c>
      <c r="C318" s="300">
        <v>2.7967170862213562E-3</v>
      </c>
      <c r="D318" s="300">
        <v>1.5189304514861837E-3</v>
      </c>
      <c r="E318" s="300">
        <v>0.98380034229005831</v>
      </c>
      <c r="F318" s="300">
        <v>3.271646579459352E-3</v>
      </c>
      <c r="G318" s="300">
        <v>0</v>
      </c>
      <c r="H318" s="301">
        <v>0</v>
      </c>
      <c r="I318" s="53" t="s">
        <v>14</v>
      </c>
    </row>
    <row r="319" spans="1:9" ht="17.100000000000001" customHeight="1" x14ac:dyDescent="0.25">
      <c r="A319" s="38"/>
      <c r="B319" s="299">
        <v>1.4997350575480123E-2</v>
      </c>
      <c r="C319" s="300">
        <v>6.9864250446068869E-3</v>
      </c>
      <c r="D319" s="300">
        <v>9.2904480974727852E-4</v>
      </c>
      <c r="E319" s="300">
        <v>0.97195642107063007</v>
      </c>
      <c r="F319" s="300">
        <v>4.9847399388901334E-3</v>
      </c>
      <c r="G319" s="300">
        <v>1.4601856064595578E-4</v>
      </c>
      <c r="H319" s="301">
        <v>0</v>
      </c>
      <c r="I319" s="52" t="s">
        <v>15</v>
      </c>
    </row>
    <row r="320" spans="1:9" ht="17.100000000000001" customHeight="1" x14ac:dyDescent="0.25">
      <c r="A320" s="38"/>
      <c r="B320" s="299">
        <v>2.9388674611604063E-2</v>
      </c>
      <c r="C320" s="300">
        <v>8.3530065444445481E-3</v>
      </c>
      <c r="D320" s="300">
        <v>1.129444534440434E-2</v>
      </c>
      <c r="E320" s="300">
        <v>0.943384732956426</v>
      </c>
      <c r="F320" s="300">
        <v>6.9962650480320278E-3</v>
      </c>
      <c r="G320" s="300">
        <v>5.8287549508958039E-4</v>
      </c>
      <c r="H320" s="301">
        <v>0</v>
      </c>
      <c r="I320" s="49" t="s">
        <v>16</v>
      </c>
    </row>
    <row r="321" spans="1:9" ht="17.100000000000001" customHeight="1" x14ac:dyDescent="0.25">
      <c r="A321" s="38"/>
      <c r="B321" s="299">
        <v>4.677787382528107E-2</v>
      </c>
      <c r="C321" s="300">
        <v>1.9212990648294119E-2</v>
      </c>
      <c r="D321" s="300">
        <v>1.1178942397086016E-2</v>
      </c>
      <c r="E321" s="300">
        <v>0.91304439467125387</v>
      </c>
      <c r="F321" s="300">
        <v>6.6865886071166116E-3</v>
      </c>
      <c r="G321" s="300">
        <v>1.9960432545554755E-3</v>
      </c>
      <c r="H321" s="301">
        <v>1.1031665964123449E-3</v>
      </c>
      <c r="I321" s="49" t="s">
        <v>17</v>
      </c>
    </row>
    <row r="322" spans="1:9" ht="17.100000000000001" customHeight="1" x14ac:dyDescent="0.25">
      <c r="A322" s="38"/>
      <c r="B322" s="299">
        <v>6.2813955637882432E-2</v>
      </c>
      <c r="C322" s="300">
        <v>3.8903142705945838E-2</v>
      </c>
      <c r="D322" s="300">
        <v>3.4101009319318913E-2</v>
      </c>
      <c r="E322" s="300">
        <v>0.84966910528335338</v>
      </c>
      <c r="F322" s="300">
        <v>8.7166342611707665E-3</v>
      </c>
      <c r="G322" s="300">
        <v>3.9962584613777389E-3</v>
      </c>
      <c r="H322" s="301">
        <v>1.7998943309493693E-3</v>
      </c>
      <c r="I322" s="49" t="s">
        <v>18</v>
      </c>
    </row>
    <row r="323" spans="1:9" ht="17.100000000000001" customHeight="1" x14ac:dyDescent="0.25">
      <c r="A323" s="38"/>
      <c r="B323" s="299">
        <v>8.3189561684193822E-2</v>
      </c>
      <c r="C323" s="300">
        <v>6.3551288335836481E-2</v>
      </c>
      <c r="D323" s="300">
        <v>6.1530821070546443E-2</v>
      </c>
      <c r="E323" s="300">
        <v>0.76717625251824006</v>
      </c>
      <c r="F323" s="300">
        <v>1.5402337386413665E-2</v>
      </c>
      <c r="G323" s="300">
        <v>8.2691405204538479E-3</v>
      </c>
      <c r="H323" s="301">
        <v>8.8059848431391722E-4</v>
      </c>
      <c r="I323" s="49" t="s">
        <v>19</v>
      </c>
    </row>
    <row r="324" spans="1:9" ht="17.100000000000001" customHeight="1" x14ac:dyDescent="0.25">
      <c r="A324" s="38"/>
      <c r="B324" s="299">
        <v>9.5529300409021425E-2</v>
      </c>
      <c r="C324" s="300">
        <v>0.12841287987695063</v>
      </c>
      <c r="D324" s="300">
        <v>0.13519236738173684</v>
      </c>
      <c r="E324" s="300">
        <v>0.60393691980257369</v>
      </c>
      <c r="F324" s="300">
        <v>2.2331389105605254E-2</v>
      </c>
      <c r="G324" s="300">
        <v>1.2379475457343549E-2</v>
      </c>
      <c r="H324" s="301">
        <v>2.2176679667629965E-3</v>
      </c>
      <c r="I324" s="49" t="s">
        <v>20</v>
      </c>
    </row>
    <row r="325" spans="1:9" ht="17.100000000000001" customHeight="1" x14ac:dyDescent="0.25">
      <c r="A325" s="38" t="s">
        <v>1</v>
      </c>
      <c r="B325" s="299">
        <v>0.11065787944533154</v>
      </c>
      <c r="C325" s="300">
        <v>0.19313119856451963</v>
      </c>
      <c r="D325" s="300">
        <v>0.16454573697543801</v>
      </c>
      <c r="E325" s="300">
        <v>0.47262017956896685</v>
      </c>
      <c r="F325" s="300">
        <v>3.4446830705193859E-2</v>
      </c>
      <c r="G325" s="300">
        <v>2.1126582126176664E-2</v>
      </c>
      <c r="H325" s="301">
        <v>3.4715926143670476E-3</v>
      </c>
      <c r="I325" s="49" t="s">
        <v>1</v>
      </c>
    </row>
    <row r="326" spans="1:9" ht="17.100000000000001" customHeight="1" x14ac:dyDescent="0.25">
      <c r="A326" s="38"/>
      <c r="B326" s="299">
        <v>0.12586541158729325</v>
      </c>
      <c r="C326" s="300">
        <v>0.24024437574930246</v>
      </c>
      <c r="D326" s="300">
        <v>0.20580961986595597</v>
      </c>
      <c r="E326" s="300">
        <v>0.32703093612774287</v>
      </c>
      <c r="F326" s="300">
        <v>6.635943948434847E-2</v>
      </c>
      <c r="G326" s="300">
        <v>3.0020064368184132E-2</v>
      </c>
      <c r="H326" s="301">
        <v>4.6701528171644571E-3</v>
      </c>
      <c r="I326" s="49" t="s">
        <v>21</v>
      </c>
    </row>
    <row r="327" spans="1:9" ht="17.100000000000001" customHeight="1" x14ac:dyDescent="0.25">
      <c r="A327" s="38"/>
      <c r="B327" s="299">
        <v>0.11901549201317942</v>
      </c>
      <c r="C327" s="300">
        <v>0.28672988525682647</v>
      </c>
      <c r="D327" s="300">
        <v>0.21593179846794844</v>
      </c>
      <c r="E327" s="300">
        <v>0.25187844288098793</v>
      </c>
      <c r="F327" s="300">
        <v>8.1118516433307197E-2</v>
      </c>
      <c r="G327" s="300">
        <v>3.6259181366454264E-2</v>
      </c>
      <c r="H327" s="301">
        <v>9.0666835812871216E-3</v>
      </c>
      <c r="I327" s="49" t="s">
        <v>22</v>
      </c>
    </row>
    <row r="328" spans="1:9" ht="17.100000000000001" customHeight="1" x14ac:dyDescent="0.25">
      <c r="A328" s="38"/>
      <c r="B328" s="299">
        <v>0.12833188586079797</v>
      </c>
      <c r="C328" s="300">
        <v>0.31505409096617609</v>
      </c>
      <c r="D328" s="300">
        <v>0.21883637417029578</v>
      </c>
      <c r="E328" s="300">
        <v>0.17277521607419266</v>
      </c>
      <c r="F328" s="300">
        <v>0.11240557626373898</v>
      </c>
      <c r="G328" s="300">
        <v>4.3155138003690995E-2</v>
      </c>
      <c r="H328" s="301">
        <v>9.4417186610988336E-3</v>
      </c>
      <c r="I328" s="49" t="s">
        <v>23</v>
      </c>
    </row>
    <row r="329" spans="1:9" ht="17.100000000000001" customHeight="1" x14ac:dyDescent="0.25">
      <c r="A329" s="38"/>
      <c r="B329" s="299">
        <v>0.11170026250974269</v>
      </c>
      <c r="C329" s="300">
        <v>0.3662948806529</v>
      </c>
      <c r="D329" s="300">
        <v>0.17927361877387996</v>
      </c>
      <c r="E329" s="300">
        <v>0.13426622824101775</v>
      </c>
      <c r="F329" s="300">
        <v>0.15386482867416204</v>
      </c>
      <c r="G329" s="300">
        <v>4.3417481483001924E-2</v>
      </c>
      <c r="H329" s="301">
        <v>1.1182699665288327E-2</v>
      </c>
      <c r="I329" s="49" t="s">
        <v>24</v>
      </c>
    </row>
    <row r="330" spans="1:9" ht="17.100000000000001" customHeight="1" x14ac:dyDescent="0.25">
      <c r="A330" s="38"/>
      <c r="B330" s="299">
        <v>0.13772212863327077</v>
      </c>
      <c r="C330" s="300">
        <v>0.37384105072137602</v>
      </c>
      <c r="D330" s="300">
        <v>0.16692624832415562</v>
      </c>
      <c r="E330" s="300">
        <v>7.2605685042786208E-2</v>
      </c>
      <c r="F330" s="300">
        <v>0.18624836603561906</v>
      </c>
      <c r="G330" s="300">
        <v>5.3844288536543571E-2</v>
      </c>
      <c r="H330" s="301">
        <v>8.8122327062417436E-3</v>
      </c>
      <c r="I330" s="49" t="s">
        <v>25</v>
      </c>
    </row>
    <row r="331" spans="1:9" ht="17.100000000000001" customHeight="1" x14ac:dyDescent="0.25">
      <c r="A331" s="38"/>
      <c r="B331" s="299">
        <v>0.14514644983353511</v>
      </c>
      <c r="C331" s="300">
        <v>0.38068256341504025</v>
      </c>
      <c r="D331" s="300">
        <v>0.10627732797299921</v>
      </c>
      <c r="E331" s="300">
        <v>6.402733256341088E-2</v>
      </c>
      <c r="F331" s="300">
        <v>0.23149182902388957</v>
      </c>
      <c r="G331" s="300">
        <v>6.3653196193440814E-2</v>
      </c>
      <c r="H331" s="301">
        <v>8.7213009976770065E-3</v>
      </c>
      <c r="I331" s="49" t="s">
        <v>27</v>
      </c>
    </row>
    <row r="332" spans="1:9" ht="17.100000000000001" customHeight="1" x14ac:dyDescent="0.25">
      <c r="A332" s="38"/>
      <c r="B332" s="299">
        <v>0.15296997114254038</v>
      </c>
      <c r="C332" s="300">
        <v>0.37594917887774698</v>
      </c>
      <c r="D332" s="300">
        <v>7.995940595535081E-2</v>
      </c>
      <c r="E332" s="300">
        <v>4.6523777684851476E-2</v>
      </c>
      <c r="F332" s="300">
        <v>0.26493693763254444</v>
      </c>
      <c r="G332" s="300">
        <v>7.0115312697401275E-2</v>
      </c>
      <c r="H332" s="301">
        <v>9.5454160095571946E-3</v>
      </c>
      <c r="I332" s="49" t="s">
        <v>26</v>
      </c>
    </row>
    <row r="333" spans="1:9" ht="17.100000000000001" customHeight="1" x14ac:dyDescent="0.25">
      <c r="A333" s="38" t="s">
        <v>2</v>
      </c>
      <c r="B333" s="299">
        <v>0.14227018777317055</v>
      </c>
      <c r="C333" s="300">
        <v>0.35086939633649722</v>
      </c>
      <c r="D333" s="300">
        <v>9.9909301601122713E-2</v>
      </c>
      <c r="E333" s="300">
        <v>4.1228281213099384E-2</v>
      </c>
      <c r="F333" s="300">
        <v>0.28755313180271841</v>
      </c>
      <c r="G333" s="300">
        <v>7.1422531402826867E-2</v>
      </c>
      <c r="H333" s="301">
        <v>6.7471698705572477E-3</v>
      </c>
      <c r="I333" s="49" t="s">
        <v>2</v>
      </c>
    </row>
    <row r="334" spans="1:9" ht="17.100000000000001" customHeight="1" x14ac:dyDescent="0.25">
      <c r="A334" s="38"/>
      <c r="B334" s="299">
        <v>0.15542813067906505</v>
      </c>
      <c r="C334" s="300">
        <v>0.34175790948115276</v>
      </c>
      <c r="D334" s="300">
        <v>9.9197690475242559E-2</v>
      </c>
      <c r="E334" s="300">
        <v>3.6257071444921088E-2</v>
      </c>
      <c r="F334" s="300">
        <v>0.29035719335411209</v>
      </c>
      <c r="G334" s="300">
        <v>7.3374006904346534E-2</v>
      </c>
      <c r="H334" s="301">
        <v>3.6279976611519262E-3</v>
      </c>
      <c r="I334" s="49" t="s">
        <v>28</v>
      </c>
    </row>
    <row r="335" spans="1:9" ht="17.100000000000001" customHeight="1" x14ac:dyDescent="0.25">
      <c r="A335" s="38"/>
      <c r="B335" s="299">
        <v>0.14674250398988367</v>
      </c>
      <c r="C335" s="300">
        <v>0.31060364569551757</v>
      </c>
      <c r="D335" s="300">
        <v>0.13760895532488832</v>
      </c>
      <c r="E335" s="300">
        <v>4.4117951785872495E-2</v>
      </c>
      <c r="F335" s="300">
        <v>0.29867677002811144</v>
      </c>
      <c r="G335" s="300">
        <v>5.9234025005816759E-2</v>
      </c>
      <c r="H335" s="301">
        <v>3.0161481699010188E-3</v>
      </c>
      <c r="I335" s="49" t="s">
        <v>29</v>
      </c>
    </row>
    <row r="336" spans="1:9" ht="17.100000000000001" customHeight="1" x14ac:dyDescent="0.25">
      <c r="A336" s="38"/>
      <c r="B336" s="299">
        <v>0.14660056507152822</v>
      </c>
      <c r="C336" s="300">
        <v>0.31075549935935737</v>
      </c>
      <c r="D336" s="300">
        <v>0.12663601392977858</v>
      </c>
      <c r="E336" s="300">
        <v>3.8566010022252843E-2</v>
      </c>
      <c r="F336" s="300">
        <v>0.30910131396057638</v>
      </c>
      <c r="G336" s="300">
        <v>6.6212783318431889E-2</v>
      </c>
      <c r="H336" s="301">
        <v>2.1278143380655443E-3</v>
      </c>
      <c r="I336" s="49" t="s">
        <v>30</v>
      </c>
    </row>
    <row r="337" spans="1:9" ht="17.100000000000001" customHeight="1" x14ac:dyDescent="0.25">
      <c r="A337" s="38"/>
      <c r="B337" s="299">
        <v>0.13727801789140695</v>
      </c>
      <c r="C337" s="300">
        <v>0.26535289334901874</v>
      </c>
      <c r="D337" s="300">
        <v>0.19478809180909112</v>
      </c>
      <c r="E337" s="300">
        <v>3.4351353644707032E-2</v>
      </c>
      <c r="F337" s="300">
        <v>0.30223876680473216</v>
      </c>
      <c r="G337" s="300">
        <v>5.7913809605525189E-2</v>
      </c>
      <c r="H337" s="301">
        <v>8.0770668955099118E-3</v>
      </c>
      <c r="I337" s="49" t="s">
        <v>31</v>
      </c>
    </row>
    <row r="338" spans="1:9" ht="17.100000000000001" customHeight="1" x14ac:dyDescent="0.25">
      <c r="A338" s="38"/>
      <c r="B338" s="299">
        <v>0.12819360548450376</v>
      </c>
      <c r="C338" s="300">
        <v>0.23906160378064242</v>
      </c>
      <c r="D338" s="300">
        <v>0.22179325457314142</v>
      </c>
      <c r="E338" s="300">
        <v>4.3250461496350277E-2</v>
      </c>
      <c r="F338" s="300">
        <v>0.30249710579322842</v>
      </c>
      <c r="G338" s="300">
        <v>6.1306726051784693E-2</v>
      </c>
      <c r="H338" s="301">
        <v>3.8972428203402896E-3</v>
      </c>
      <c r="I338" s="49" t="s">
        <v>32</v>
      </c>
    </row>
    <row r="339" spans="1:9" ht="17.100000000000001" customHeight="1" x14ac:dyDescent="0.25">
      <c r="A339" s="38"/>
      <c r="B339" s="299">
        <v>0.11191437436266811</v>
      </c>
      <c r="C339" s="300">
        <v>0.20277053079406648</v>
      </c>
      <c r="D339" s="300">
        <v>0.25054678172557432</v>
      </c>
      <c r="E339" s="300">
        <v>4.3338733151947834E-2</v>
      </c>
      <c r="F339" s="300">
        <v>0.31451366937336844</v>
      </c>
      <c r="G339" s="300">
        <v>7.3083944161367126E-2</v>
      </c>
      <c r="H339" s="301">
        <v>3.8319664309987345E-3</v>
      </c>
      <c r="I339" s="49" t="s">
        <v>33</v>
      </c>
    </row>
    <row r="340" spans="1:9" ht="17.100000000000001" customHeight="1" x14ac:dyDescent="0.25">
      <c r="A340" s="38"/>
      <c r="B340" s="299">
        <v>9.0560192699840433E-2</v>
      </c>
      <c r="C340" s="300">
        <v>0.18157458056291267</v>
      </c>
      <c r="D340" s="300">
        <v>0.22881791105979629</v>
      </c>
      <c r="E340" s="300">
        <v>5.0642822668798423E-2</v>
      </c>
      <c r="F340" s="300">
        <v>0.36257459399016784</v>
      </c>
      <c r="G340" s="300">
        <v>8.1030531708923756E-2</v>
      </c>
      <c r="H340" s="301">
        <v>4.7993673095531215E-3</v>
      </c>
      <c r="I340" s="49" t="s">
        <v>34</v>
      </c>
    </row>
    <row r="341" spans="1:9" ht="17.100000000000001" customHeight="1" x14ac:dyDescent="0.25">
      <c r="A341" s="38" t="s">
        <v>3</v>
      </c>
      <c r="B341" s="299">
        <v>8.3726960069456235E-2</v>
      </c>
      <c r="C341" s="300">
        <v>0.19324435114616059</v>
      </c>
      <c r="D341" s="300">
        <v>0.1445427762504794</v>
      </c>
      <c r="E341" s="300">
        <v>6.6690308788982883E-2</v>
      </c>
      <c r="F341" s="300">
        <v>0.39507356181234654</v>
      </c>
      <c r="G341" s="300">
        <v>0.11066731162350686</v>
      </c>
      <c r="H341" s="301">
        <v>6.0547303090601719E-3</v>
      </c>
      <c r="I341" s="49" t="s">
        <v>3</v>
      </c>
    </row>
    <row r="342" spans="1:9" ht="17.100000000000001" customHeight="1" x14ac:dyDescent="0.25">
      <c r="A342" s="38"/>
      <c r="B342" s="299">
        <v>7.9894801873532817E-2</v>
      </c>
      <c r="C342" s="300">
        <v>0.16952588498477561</v>
      </c>
      <c r="D342" s="300">
        <v>0.15477664794029047</v>
      </c>
      <c r="E342" s="300">
        <v>6.2418111077987684E-2</v>
      </c>
      <c r="F342" s="300">
        <v>0.40340053344418619</v>
      </c>
      <c r="G342" s="300">
        <v>0.12413734375494032</v>
      </c>
      <c r="H342" s="301">
        <v>5.8466769242798595E-3</v>
      </c>
      <c r="I342" s="49" t="s">
        <v>35</v>
      </c>
    </row>
    <row r="343" spans="1:9" ht="17.100000000000001" customHeight="1" x14ac:dyDescent="0.25">
      <c r="A343" s="38"/>
      <c r="B343" s="299">
        <v>8.520400379642537E-2</v>
      </c>
      <c r="C343" s="300">
        <v>0.17990341650879418</v>
      </c>
      <c r="D343" s="300">
        <v>0.13096923190196491</v>
      </c>
      <c r="E343" s="300">
        <v>5.7213933913017205E-2</v>
      </c>
      <c r="F343" s="300">
        <v>0.40668776512375004</v>
      </c>
      <c r="G343" s="300">
        <v>0.13397878812396125</v>
      </c>
      <c r="H343" s="301">
        <v>6.0428606320795594E-3</v>
      </c>
      <c r="I343" s="49" t="s">
        <v>36</v>
      </c>
    </row>
    <row r="344" spans="1:9" ht="17.100000000000001" customHeight="1" x14ac:dyDescent="0.25">
      <c r="A344" s="38"/>
      <c r="B344" s="299">
        <v>8.8907489263762074E-2</v>
      </c>
      <c r="C344" s="300">
        <v>0.18406177383079123</v>
      </c>
      <c r="D344" s="300">
        <v>0.11743486334849951</v>
      </c>
      <c r="E344" s="300">
        <v>4.7624258450220287E-2</v>
      </c>
      <c r="F344" s="300">
        <v>0.41192913986018903</v>
      </c>
      <c r="G344" s="300">
        <v>0.14709653179695553</v>
      </c>
      <c r="H344" s="301">
        <v>2.945943449575268E-3</v>
      </c>
      <c r="I344" s="49" t="s">
        <v>37</v>
      </c>
    </row>
    <row r="345" spans="1:9" ht="17.100000000000001" customHeight="1" x14ac:dyDescent="0.25">
      <c r="A345" s="38"/>
      <c r="B345" s="299">
        <v>8.0968019051314719E-2</v>
      </c>
      <c r="C345" s="300">
        <v>0.19740136818329934</v>
      </c>
      <c r="D345" s="300">
        <v>0.10522272096411342</v>
      </c>
      <c r="E345" s="300">
        <v>5.0585095791755685E-2</v>
      </c>
      <c r="F345" s="300">
        <v>0.40134919004093</v>
      </c>
      <c r="G345" s="300">
        <v>0.15695106670156916</v>
      </c>
      <c r="H345" s="301">
        <v>7.5225392670097598E-3</v>
      </c>
      <c r="I345" s="49" t="s">
        <v>38</v>
      </c>
    </row>
    <row r="346" spans="1:9" ht="17.100000000000001" customHeight="1" x14ac:dyDescent="0.25">
      <c r="A346" s="38"/>
      <c r="B346" s="299">
        <v>7.9049934977327166E-2</v>
      </c>
      <c r="C346" s="300">
        <v>0.18733731411475771</v>
      </c>
      <c r="D346" s="300">
        <v>0.10585830294086383</v>
      </c>
      <c r="E346" s="300">
        <v>4.5202991110175395E-2</v>
      </c>
      <c r="F346" s="300">
        <v>0.3914646140299653</v>
      </c>
      <c r="G346" s="300">
        <v>0.17993502815585768</v>
      </c>
      <c r="H346" s="301">
        <v>1.1151814671045271E-2</v>
      </c>
      <c r="I346" s="49" t="s">
        <v>39</v>
      </c>
    </row>
    <row r="347" spans="1:9" ht="17.100000000000001" customHeight="1" x14ac:dyDescent="0.25">
      <c r="A347" s="38"/>
      <c r="B347" s="299">
        <v>6.0656294727348833E-2</v>
      </c>
      <c r="C347" s="300">
        <v>0.16098860570711665</v>
      </c>
      <c r="D347" s="300">
        <v>0.1601044520342127</v>
      </c>
      <c r="E347" s="300">
        <v>5.6174046530061396E-2</v>
      </c>
      <c r="F347" s="300">
        <v>0.28911983017119458</v>
      </c>
      <c r="G347" s="300">
        <v>0.26023469950291128</v>
      </c>
      <c r="H347" s="301">
        <v>1.2722071327146365E-2</v>
      </c>
      <c r="I347" s="49" t="s">
        <v>40</v>
      </c>
    </row>
    <row r="348" spans="1:9" ht="17.100000000000001" customHeight="1" x14ac:dyDescent="0.25">
      <c r="A348" s="38"/>
      <c r="B348" s="299">
        <v>4.5846586149086127E-2</v>
      </c>
      <c r="C348" s="300">
        <v>0.15190218803975838</v>
      </c>
      <c r="D348" s="300">
        <v>0.15718844255519787</v>
      </c>
      <c r="E348" s="300">
        <v>5.7244907658254539E-2</v>
      </c>
      <c r="F348" s="300">
        <v>0.2729871105008625</v>
      </c>
      <c r="G348" s="300">
        <v>0.3069138836677463</v>
      </c>
      <c r="H348" s="301">
        <v>7.9168814290859688E-3</v>
      </c>
      <c r="I348" s="49" t="s">
        <v>41</v>
      </c>
    </row>
    <row r="349" spans="1:9" ht="17.100000000000001" customHeight="1" x14ac:dyDescent="0.25">
      <c r="A349" s="38" t="s">
        <v>4</v>
      </c>
      <c r="B349" s="299">
        <v>3.0199639920854959E-2</v>
      </c>
      <c r="C349" s="300">
        <v>0.12423802217203592</v>
      </c>
      <c r="D349" s="300">
        <v>0.17007750477376496</v>
      </c>
      <c r="E349" s="300">
        <v>5.9388412153821769E-2</v>
      </c>
      <c r="F349" s="300">
        <v>0.2451584706524936</v>
      </c>
      <c r="G349" s="300">
        <v>0.36416926002137229</v>
      </c>
      <c r="H349" s="301">
        <v>6.7686903056484041E-3</v>
      </c>
      <c r="I349" s="49" t="s">
        <v>4</v>
      </c>
    </row>
    <row r="350" spans="1:9" ht="17.100000000000001" customHeight="1" x14ac:dyDescent="0.25">
      <c r="A350" s="38"/>
      <c r="B350" s="299">
        <v>3.2644881829468154E-2</v>
      </c>
      <c r="C350" s="300">
        <v>0.10835639695218111</v>
      </c>
      <c r="D350" s="300">
        <v>0.11785486351322108</v>
      </c>
      <c r="E350" s="300">
        <v>5.7110045343636118E-2</v>
      </c>
      <c r="F350" s="300">
        <v>0.2355922169598742</v>
      </c>
      <c r="G350" s="300">
        <v>0.44127829646370775</v>
      </c>
      <c r="H350" s="301">
        <v>7.1632989379042085E-3</v>
      </c>
      <c r="I350" s="49" t="s">
        <v>43</v>
      </c>
    </row>
    <row r="351" spans="1:9" ht="17.100000000000001" customHeight="1" x14ac:dyDescent="0.25">
      <c r="A351" s="38"/>
      <c r="B351" s="299">
        <v>3.0957169924556951E-2</v>
      </c>
      <c r="C351" s="300">
        <v>8.2732494635863893E-2</v>
      </c>
      <c r="D351" s="300">
        <v>6.318887018716618E-2</v>
      </c>
      <c r="E351" s="300">
        <v>0.12203491328311446</v>
      </c>
      <c r="F351" s="300">
        <v>0.21326102864787153</v>
      </c>
      <c r="G351" s="300">
        <v>0.48009294649420114</v>
      </c>
      <c r="H351" s="301">
        <v>7.7325768272189961E-3</v>
      </c>
      <c r="I351" s="49" t="s">
        <v>42</v>
      </c>
    </row>
    <row r="352" spans="1:9" ht="17.100000000000001" customHeight="1" x14ac:dyDescent="0.25">
      <c r="A352" s="38"/>
      <c r="B352" s="299">
        <v>2.9649067447531839E-2</v>
      </c>
      <c r="C352" s="300">
        <v>5.4739365976852541E-2</v>
      </c>
      <c r="D352" s="300">
        <v>3.2653568120607525E-2</v>
      </c>
      <c r="E352" s="300">
        <v>0.15250652555384844</v>
      </c>
      <c r="F352" s="300">
        <v>0.20155065644171949</v>
      </c>
      <c r="G352" s="300">
        <v>0.5231384819205267</v>
      </c>
      <c r="H352" s="301">
        <v>5.7623345389079548E-3</v>
      </c>
      <c r="I352" s="49" t="s">
        <v>44</v>
      </c>
    </row>
    <row r="353" spans="1:22" ht="17.100000000000001" customHeight="1" x14ac:dyDescent="0.25">
      <c r="A353" s="38"/>
      <c r="B353" s="299">
        <v>2.6938037585202978E-2</v>
      </c>
      <c r="C353" s="300">
        <v>4.4567810498984374E-2</v>
      </c>
      <c r="D353" s="300">
        <v>1.951866854734444E-2</v>
      </c>
      <c r="E353" s="300">
        <v>0.40991825921089675</v>
      </c>
      <c r="F353" s="300">
        <v>0.16213871126129115</v>
      </c>
      <c r="G353" s="300">
        <v>0.33074166889921286</v>
      </c>
      <c r="H353" s="301">
        <v>6.1768439970590087E-3</v>
      </c>
      <c r="I353" s="49" t="s">
        <v>45</v>
      </c>
    </row>
    <row r="354" spans="1:22" ht="17.100000000000001" customHeight="1" x14ac:dyDescent="0.25">
      <c r="A354" s="38"/>
      <c r="B354" s="299">
        <v>2.122026417820351E-2</v>
      </c>
      <c r="C354" s="300">
        <v>2.3753431365216366E-2</v>
      </c>
      <c r="D354" s="300">
        <v>1.7121753416773973E-2</v>
      </c>
      <c r="E354" s="300">
        <v>0.49196249829956384</v>
      </c>
      <c r="F354" s="300">
        <v>0.15300121669778854</v>
      </c>
      <c r="G354" s="300">
        <v>0.29010449482200418</v>
      </c>
      <c r="H354" s="301">
        <v>2.836341220443342E-3</v>
      </c>
      <c r="I354" s="49" t="s">
        <v>46</v>
      </c>
    </row>
    <row r="355" spans="1:22" ht="17.100000000000001" customHeight="1" x14ac:dyDescent="0.25">
      <c r="A355" s="38"/>
      <c r="B355" s="299">
        <v>1.65009795093931E-2</v>
      </c>
      <c r="C355" s="300">
        <v>1.2885777727531631E-2</v>
      </c>
      <c r="D355" s="300">
        <v>8.2146651413546566E-3</v>
      </c>
      <c r="E355" s="300">
        <v>0.68588431099822345</v>
      </c>
      <c r="F355" s="300">
        <v>0.11560067097757518</v>
      </c>
      <c r="G355" s="300">
        <v>0.15981662252788836</v>
      </c>
      <c r="H355" s="301">
        <v>1.0969731180304387E-3</v>
      </c>
      <c r="I355" s="49" t="s">
        <v>47</v>
      </c>
    </row>
    <row r="356" spans="1:22" ht="17.100000000000001" customHeight="1" x14ac:dyDescent="0.25">
      <c r="A356" s="38"/>
      <c r="B356" s="299">
        <v>1.3972197479770156E-2</v>
      </c>
      <c r="C356" s="300">
        <v>7.4193598099577271E-3</v>
      </c>
      <c r="D356" s="300">
        <v>3.6096905734166219E-3</v>
      </c>
      <c r="E356" s="300">
        <v>0.78498298836216973</v>
      </c>
      <c r="F356" s="300">
        <v>8.5294241575058785E-2</v>
      </c>
      <c r="G356" s="300">
        <v>0.10215669012486872</v>
      </c>
      <c r="H356" s="301">
        <v>2.5648320747585622E-3</v>
      </c>
      <c r="I356" s="49" t="s">
        <v>48</v>
      </c>
    </row>
    <row r="357" spans="1:22" ht="17.100000000000001" customHeight="1" x14ac:dyDescent="0.25">
      <c r="A357" s="38" t="s">
        <v>5</v>
      </c>
      <c r="B357" s="299">
        <v>1.2172405439407993E-2</v>
      </c>
      <c r="C357" s="300">
        <v>3.9504520349388514E-3</v>
      </c>
      <c r="D357" s="300">
        <v>1.8768569924313019E-3</v>
      </c>
      <c r="E357" s="300">
        <v>0.88685273205747306</v>
      </c>
      <c r="F357" s="300">
        <v>4.9805993539520095E-2</v>
      </c>
      <c r="G357" s="300">
        <v>4.4818303014709751E-2</v>
      </c>
      <c r="H357" s="301">
        <v>5.2325692151970965E-4</v>
      </c>
      <c r="I357" s="49" t="s">
        <v>5</v>
      </c>
    </row>
    <row r="358" spans="1:22" ht="17.100000000000001" customHeight="1" x14ac:dyDescent="0.25">
      <c r="A358" s="38"/>
      <c r="B358" s="299">
        <v>8.804450912733526E-3</v>
      </c>
      <c r="C358" s="300">
        <v>2.298069031882715E-3</v>
      </c>
      <c r="D358" s="300">
        <v>7.228524730310649E-4</v>
      </c>
      <c r="E358" s="300">
        <v>0.92332641278430783</v>
      </c>
      <c r="F358" s="300">
        <v>3.088989895998057E-2</v>
      </c>
      <c r="G358" s="300">
        <v>3.1564804911134135E-2</v>
      </c>
      <c r="H358" s="301">
        <v>2.3935109269311561E-3</v>
      </c>
      <c r="I358" s="49" t="s">
        <v>49</v>
      </c>
    </row>
    <row r="359" spans="1:22" ht="17.100000000000001" customHeight="1" x14ac:dyDescent="0.25">
      <c r="A359" s="38"/>
      <c r="B359" s="299">
        <v>5.7159516419549835E-3</v>
      </c>
      <c r="C359" s="300">
        <v>2.0982153764845511E-3</v>
      </c>
      <c r="D359" s="300">
        <v>1.1220091258638484E-3</v>
      </c>
      <c r="E359" s="300">
        <v>0.971951978566446</v>
      </c>
      <c r="F359" s="300">
        <v>1.011498943730073E-2</v>
      </c>
      <c r="G359" s="300">
        <v>8.330266059049107E-3</v>
      </c>
      <c r="H359" s="301">
        <v>6.6658979290093153E-4</v>
      </c>
      <c r="I359" s="49" t="s">
        <v>50</v>
      </c>
    </row>
    <row r="360" spans="1:22" ht="17.100000000000001" customHeight="1" x14ac:dyDescent="0.25">
      <c r="A360" s="38"/>
      <c r="B360" s="299">
        <v>5.6596620989226663E-3</v>
      </c>
      <c r="C360" s="300">
        <v>2.3657530994831036E-3</v>
      </c>
      <c r="D360" s="300">
        <v>7.1685295445281022E-4</v>
      </c>
      <c r="E360" s="300">
        <v>0.97841449843895245</v>
      </c>
      <c r="F360" s="300">
        <v>6.2942532237327776E-3</v>
      </c>
      <c r="G360" s="300">
        <v>5.882390391554769E-3</v>
      </c>
      <c r="H360" s="301">
        <v>6.6658979290093153E-4</v>
      </c>
      <c r="I360" s="49" t="s">
        <v>51</v>
      </c>
    </row>
    <row r="361" spans="1:22" ht="17.100000000000001" customHeight="1" x14ac:dyDescent="0.25">
      <c r="A361" s="38"/>
      <c r="B361" s="299">
        <v>4.9737943761077553E-3</v>
      </c>
      <c r="C361" s="300">
        <v>1.0197679780944195E-3</v>
      </c>
      <c r="D361" s="300">
        <v>5.5730598159005134E-4</v>
      </c>
      <c r="E361" s="300">
        <v>0.98677495350874056</v>
      </c>
      <c r="F361" s="300">
        <v>4.4706325288873519E-3</v>
      </c>
      <c r="G361" s="300">
        <v>2.2035456265795603E-3</v>
      </c>
      <c r="H361" s="301">
        <v>0</v>
      </c>
      <c r="I361" s="49" t="s">
        <v>52</v>
      </c>
    </row>
    <row r="362" spans="1:22" ht="17.100000000000001" customHeight="1" x14ac:dyDescent="0.25">
      <c r="A362" s="38"/>
      <c r="B362" s="299">
        <v>4.8166335570557703E-3</v>
      </c>
      <c r="C362" s="300">
        <v>6.7641094495926601E-4</v>
      </c>
      <c r="D362" s="300">
        <v>5.5730598159005134E-4</v>
      </c>
      <c r="E362" s="300">
        <v>0.98903965100536273</v>
      </c>
      <c r="F362" s="300">
        <v>3.1490105039358954E-3</v>
      </c>
      <c r="G362" s="300">
        <v>1.760988007096005E-3</v>
      </c>
      <c r="H362" s="301">
        <v>0</v>
      </c>
      <c r="I362" s="49" t="s">
        <v>53</v>
      </c>
    </row>
    <row r="363" spans="1:22" ht="17.100000000000001" customHeight="1" x14ac:dyDescent="0.25">
      <c r="A363" s="38"/>
      <c r="B363" s="299">
        <v>4.8166335570557703E-3</v>
      </c>
      <c r="C363" s="300">
        <v>1.3578848492752814E-3</v>
      </c>
      <c r="D363" s="300">
        <v>2.9852970360540621E-4</v>
      </c>
      <c r="E363" s="300">
        <v>0.99144558685902628</v>
      </c>
      <c r="F363" s="300">
        <v>1.4491894032409311E-3</v>
      </c>
      <c r="G363" s="300">
        <v>6.3217562779600649E-4</v>
      </c>
      <c r="H363" s="301">
        <v>0</v>
      </c>
      <c r="I363" s="49" t="s">
        <v>54</v>
      </c>
    </row>
    <row r="364" spans="1:22" ht="17.100000000000001" customHeight="1" x14ac:dyDescent="0.25">
      <c r="A364" s="39" t="s">
        <v>6</v>
      </c>
      <c r="B364" s="302">
        <v>5.369827610456809E-3</v>
      </c>
      <c r="C364" s="303">
        <v>1.0320457448458706E-3</v>
      </c>
      <c r="D364" s="303">
        <v>2.9852970360540621E-4</v>
      </c>
      <c r="E364" s="303">
        <v>0.99162262801088763</v>
      </c>
      <c r="F364" s="303">
        <v>1.2580181645710795E-3</v>
      </c>
      <c r="G364" s="303">
        <v>4.1895076563274245E-4</v>
      </c>
      <c r="H364" s="304">
        <v>0</v>
      </c>
      <c r="I364" s="50" t="s">
        <v>6</v>
      </c>
    </row>
    <row r="366" spans="1:22" ht="21" customHeight="1" x14ac:dyDescent="0.25">
      <c r="A366" s="1368" t="s">
        <v>705</v>
      </c>
      <c r="B366" s="1365"/>
      <c r="C366" s="1365"/>
      <c r="D366" s="1365"/>
      <c r="E366" s="1365"/>
      <c r="F366" s="1365"/>
      <c r="G366" s="1365"/>
      <c r="H366" s="1366"/>
    </row>
    <row r="367" spans="1:22" ht="33" customHeight="1" x14ac:dyDescent="0.25">
      <c r="A367" s="1359"/>
      <c r="B367" s="34"/>
      <c r="C367" s="35"/>
      <c r="D367" s="35"/>
      <c r="E367" s="35"/>
      <c r="F367" s="35"/>
      <c r="G367" s="35"/>
      <c r="H367" s="36"/>
      <c r="I367" s="1353"/>
      <c r="K367" s="1355" t="s">
        <v>692</v>
      </c>
      <c r="L367" s="1355"/>
      <c r="M367" s="1355"/>
      <c r="N367" s="1355"/>
      <c r="O367" s="1355"/>
      <c r="P367" s="1355"/>
      <c r="Q367" s="1355"/>
      <c r="R367" s="1355"/>
      <c r="S367" s="1355"/>
      <c r="T367" s="1355"/>
      <c r="U367" s="1355"/>
      <c r="V367" s="1355"/>
    </row>
    <row r="368" spans="1:22" ht="31.5" customHeight="1" x14ac:dyDescent="0.25">
      <c r="A368" s="1360"/>
      <c r="B368" s="293" t="s">
        <v>113</v>
      </c>
      <c r="C368" s="293" t="s">
        <v>114</v>
      </c>
      <c r="D368" s="294" t="s">
        <v>409</v>
      </c>
      <c r="E368" s="294" t="s">
        <v>410</v>
      </c>
      <c r="F368" s="294" t="s">
        <v>117</v>
      </c>
      <c r="G368" s="294" t="s">
        <v>411</v>
      </c>
      <c r="H368" s="295" t="s">
        <v>118</v>
      </c>
      <c r="I368" s="1354"/>
    </row>
    <row r="369" spans="1:9" ht="17.100000000000001" customHeight="1" x14ac:dyDescent="0.25">
      <c r="A369" s="37" t="s">
        <v>0</v>
      </c>
      <c r="B369" s="296">
        <v>1.2065912253595261E-2</v>
      </c>
      <c r="C369" s="297">
        <v>8.0254816327530315E-4</v>
      </c>
      <c r="D369" s="297">
        <v>4.9413941588259615E-4</v>
      </c>
      <c r="E369" s="297">
        <v>0.98577343357205716</v>
      </c>
      <c r="F369" s="297">
        <v>8.6396659518964104E-4</v>
      </c>
      <c r="G369" s="297">
        <v>0</v>
      </c>
      <c r="H369" s="298">
        <v>0</v>
      </c>
      <c r="I369" s="51" t="s">
        <v>0</v>
      </c>
    </row>
    <row r="370" spans="1:9" ht="17.100000000000001" customHeight="1" x14ac:dyDescent="0.25">
      <c r="A370" s="38"/>
      <c r="B370" s="299">
        <v>1.2468163041030092E-2</v>
      </c>
      <c r="C370" s="300">
        <v>3.0706515599798166E-3</v>
      </c>
      <c r="D370" s="300">
        <v>2.5697237022892531E-3</v>
      </c>
      <c r="E370" s="300">
        <v>0.98101812457719328</v>
      </c>
      <c r="F370" s="300">
        <v>8.7333711950745229E-4</v>
      </c>
      <c r="G370" s="300">
        <v>0</v>
      </c>
      <c r="H370" s="301">
        <v>0</v>
      </c>
      <c r="I370" s="53" t="s">
        <v>14</v>
      </c>
    </row>
    <row r="371" spans="1:9" ht="17.100000000000001" customHeight="1" x14ac:dyDescent="0.25">
      <c r="A371" s="38"/>
      <c r="B371" s="299">
        <v>1.9873134251735688E-2</v>
      </c>
      <c r="C371" s="300">
        <v>4.7984405439255541E-3</v>
      </c>
      <c r="D371" s="300">
        <v>1.6783362897994287E-3</v>
      </c>
      <c r="E371" s="300">
        <v>0.96826060241838663</v>
      </c>
      <c r="F371" s="300">
        <v>5.0866660697718594E-3</v>
      </c>
      <c r="G371" s="300">
        <v>3.0282042638092853E-4</v>
      </c>
      <c r="H371" s="301">
        <v>0</v>
      </c>
      <c r="I371" s="52" t="s">
        <v>15</v>
      </c>
    </row>
    <row r="372" spans="1:9" ht="17.100000000000001" customHeight="1" x14ac:dyDescent="0.25">
      <c r="A372" s="38"/>
      <c r="B372" s="299">
        <v>3.5644785132026548E-2</v>
      </c>
      <c r="C372" s="300">
        <v>8.5460748482246718E-3</v>
      </c>
      <c r="D372" s="300">
        <v>1.4650624173068026E-2</v>
      </c>
      <c r="E372" s="300">
        <v>0.93250358899186214</v>
      </c>
      <c r="F372" s="300">
        <v>7.4461311704260846E-3</v>
      </c>
      <c r="G372" s="300">
        <v>1.208795684392402E-3</v>
      </c>
      <c r="H372" s="301">
        <v>0</v>
      </c>
      <c r="I372" s="49" t="s">
        <v>16</v>
      </c>
    </row>
    <row r="373" spans="1:9" ht="17.100000000000001" customHeight="1" x14ac:dyDescent="0.25">
      <c r="A373" s="38"/>
      <c r="B373" s="299">
        <v>6.0834309594367128E-2</v>
      </c>
      <c r="C373" s="300">
        <v>1.5772075134340736E-2</v>
      </c>
      <c r="D373" s="300">
        <v>1.1484021269953754E-2</v>
      </c>
      <c r="E373" s="300">
        <v>0.89883422218397291</v>
      </c>
      <c r="F373" s="300">
        <v>9.044293058280509E-3</v>
      </c>
      <c r="G373" s="300">
        <v>1.7432779643300499E-3</v>
      </c>
      <c r="H373" s="301">
        <v>2.2878007947548986E-3</v>
      </c>
      <c r="I373" s="49" t="s">
        <v>17</v>
      </c>
    </row>
    <row r="374" spans="1:9" ht="17.100000000000001" customHeight="1" x14ac:dyDescent="0.25">
      <c r="A374" s="38"/>
      <c r="B374" s="299">
        <v>8.5137526141593423E-2</v>
      </c>
      <c r="C374" s="300">
        <v>3.6417308943628782E-2</v>
      </c>
      <c r="D374" s="300">
        <v>3.5516268636375012E-2</v>
      </c>
      <c r="E374" s="300">
        <v>0.82683053649766913</v>
      </c>
      <c r="F374" s="300">
        <v>8.9860635496336397E-3</v>
      </c>
      <c r="G374" s="300">
        <v>4.167691341294133E-3</v>
      </c>
      <c r="H374" s="301">
        <v>2.9446048898063683E-3</v>
      </c>
      <c r="I374" s="49" t="s">
        <v>18</v>
      </c>
    </row>
    <row r="375" spans="1:9" ht="17.100000000000001" customHeight="1" x14ac:dyDescent="0.25">
      <c r="A375" s="38"/>
      <c r="B375" s="299">
        <v>0.11291530039810135</v>
      </c>
      <c r="C375" s="300">
        <v>4.948720276543199E-2</v>
      </c>
      <c r="D375" s="300">
        <v>6.4647273953230167E-2</v>
      </c>
      <c r="E375" s="300">
        <v>0.74216996272214841</v>
      </c>
      <c r="F375" s="300">
        <v>1.8114015728811297E-2</v>
      </c>
      <c r="G375" s="300">
        <v>1.1949035045319599E-2</v>
      </c>
      <c r="H375" s="301">
        <v>7.1720938695997969E-4</v>
      </c>
      <c r="I375" s="49" t="s">
        <v>19</v>
      </c>
    </row>
    <row r="376" spans="1:9" ht="17.100000000000001" customHeight="1" x14ac:dyDescent="0.25">
      <c r="A376" s="38"/>
      <c r="B376" s="299">
        <v>0.13140910292390909</v>
      </c>
      <c r="C376" s="300">
        <v>8.4698299346937858E-2</v>
      </c>
      <c r="D376" s="300">
        <v>0.13842745325050251</v>
      </c>
      <c r="E376" s="300">
        <v>0.60205899808852059</v>
      </c>
      <c r="F376" s="300">
        <v>2.4780536624942597E-2</v>
      </c>
      <c r="G376" s="300">
        <v>1.5630581224748079E-2</v>
      </c>
      <c r="H376" s="301">
        <v>2.9950285404457262E-3</v>
      </c>
      <c r="I376" s="49" t="s">
        <v>20</v>
      </c>
    </row>
    <row r="377" spans="1:9" ht="17.100000000000001" customHeight="1" x14ac:dyDescent="0.25">
      <c r="A377" s="38" t="s">
        <v>1</v>
      </c>
      <c r="B377" s="299">
        <v>0.14708314776670273</v>
      </c>
      <c r="C377" s="300">
        <v>0.15246392566817321</v>
      </c>
      <c r="D377" s="300">
        <v>0.16688274875013259</v>
      </c>
      <c r="E377" s="300">
        <v>0.46395350469037266</v>
      </c>
      <c r="F377" s="300">
        <v>3.6593636058440383E-2</v>
      </c>
      <c r="G377" s="300">
        <v>2.886983553166831E-2</v>
      </c>
      <c r="H377" s="301">
        <v>4.1532015345169589E-3</v>
      </c>
      <c r="I377" s="49" t="s">
        <v>1</v>
      </c>
    </row>
    <row r="378" spans="1:9" ht="17.100000000000001" customHeight="1" x14ac:dyDescent="0.25">
      <c r="A378" s="38"/>
      <c r="B378" s="299">
        <v>0.17197023541393533</v>
      </c>
      <c r="C378" s="300">
        <v>0.18637698976352968</v>
      </c>
      <c r="D378" s="300">
        <v>0.1889481168387947</v>
      </c>
      <c r="E378" s="300">
        <v>0.33889627258069732</v>
      </c>
      <c r="F378" s="300">
        <v>6.9619347275623675E-2</v>
      </c>
      <c r="G378" s="300">
        <v>3.7933625284818966E-2</v>
      </c>
      <c r="H378" s="301">
        <v>6.2554128426066113E-3</v>
      </c>
      <c r="I378" s="49" t="s">
        <v>21</v>
      </c>
    </row>
    <row r="379" spans="1:9" ht="17.100000000000001" customHeight="1" x14ac:dyDescent="0.25">
      <c r="A379" s="38"/>
      <c r="B379" s="299">
        <v>0.15678370541285422</v>
      </c>
      <c r="C379" s="300">
        <v>0.21872533194253962</v>
      </c>
      <c r="D379" s="300">
        <v>0.20140819230948448</v>
      </c>
      <c r="E379" s="300">
        <v>0.27447793559563477</v>
      </c>
      <c r="F379" s="300">
        <v>9.6784121834119829E-2</v>
      </c>
      <c r="G379" s="300">
        <v>4.3054584580333372E-2</v>
      </c>
      <c r="H379" s="301">
        <v>8.7661283250394812E-3</v>
      </c>
      <c r="I379" s="49" t="s">
        <v>22</v>
      </c>
    </row>
    <row r="380" spans="1:9" ht="17.100000000000001" customHeight="1" x14ac:dyDescent="0.25">
      <c r="A380" s="38"/>
      <c r="B380" s="299">
        <v>0.17109817916858661</v>
      </c>
      <c r="C380" s="300">
        <v>0.23553845297945672</v>
      </c>
      <c r="D380" s="300">
        <v>0.2060865429197197</v>
      </c>
      <c r="E380" s="300">
        <v>0.19341843951227741</v>
      </c>
      <c r="F380" s="300">
        <v>0.13551884834676367</v>
      </c>
      <c r="G380" s="300">
        <v>5.0005809533702872E-2</v>
      </c>
      <c r="H380" s="301">
        <v>8.333727539498988E-3</v>
      </c>
      <c r="I380" s="49" t="s">
        <v>23</v>
      </c>
    </row>
    <row r="381" spans="1:9" ht="17.100000000000001" customHeight="1" x14ac:dyDescent="0.25">
      <c r="A381" s="38"/>
      <c r="B381" s="299">
        <v>0.14926363171647469</v>
      </c>
      <c r="C381" s="300">
        <v>0.26660114797532153</v>
      </c>
      <c r="D381" s="300">
        <v>0.17995116706605721</v>
      </c>
      <c r="E381" s="300">
        <v>0.16004505585978457</v>
      </c>
      <c r="F381" s="300">
        <v>0.17912588541412638</v>
      </c>
      <c r="G381" s="300">
        <v>5.333220783384611E-2</v>
      </c>
      <c r="H381" s="301">
        <v>1.1680904134395723E-2</v>
      </c>
      <c r="I381" s="49" t="s">
        <v>24</v>
      </c>
    </row>
    <row r="382" spans="1:9" ht="17.100000000000001" customHeight="1" x14ac:dyDescent="0.25">
      <c r="A382" s="38"/>
      <c r="B382" s="299">
        <v>0.18544400306914993</v>
      </c>
      <c r="C382" s="300">
        <v>0.2699843686411954</v>
      </c>
      <c r="D382" s="300">
        <v>0.16659896682091657</v>
      </c>
      <c r="E382" s="300">
        <v>7.9174137567917732E-2</v>
      </c>
      <c r="F382" s="300">
        <v>0.22557683468609027</v>
      </c>
      <c r="G382" s="300">
        <v>6.412194793778167E-2</v>
      </c>
      <c r="H382" s="301">
        <v>9.099741276954702E-3</v>
      </c>
      <c r="I382" s="49" t="s">
        <v>25</v>
      </c>
    </row>
    <row r="383" spans="1:9" ht="17.100000000000001" customHeight="1" x14ac:dyDescent="0.25">
      <c r="A383" s="38"/>
      <c r="B383" s="299">
        <v>0.18530552522215543</v>
      </c>
      <c r="C383" s="300">
        <v>0.26779648844876774</v>
      </c>
      <c r="D383" s="300">
        <v>9.9340092283597234E-2</v>
      </c>
      <c r="E383" s="300">
        <v>7.581174631918923E-2</v>
      </c>
      <c r="F383" s="300">
        <v>0.28388246430372294</v>
      </c>
      <c r="G383" s="300">
        <v>7.8644903582555992E-2</v>
      </c>
      <c r="H383" s="301">
        <v>9.2187798400175276E-3</v>
      </c>
      <c r="I383" s="49" t="s">
        <v>27</v>
      </c>
    </row>
    <row r="384" spans="1:9" ht="17.100000000000001" customHeight="1" x14ac:dyDescent="0.25">
      <c r="A384" s="38"/>
      <c r="B384" s="299">
        <v>0.19039494931346482</v>
      </c>
      <c r="C384" s="300">
        <v>0.25738189206244272</v>
      </c>
      <c r="D384" s="300">
        <v>8.3961636260282177E-2</v>
      </c>
      <c r="E384" s="300">
        <v>5.7326794618638405E-2</v>
      </c>
      <c r="F384" s="300">
        <v>0.32277001350560025</v>
      </c>
      <c r="G384" s="300">
        <v>8.1147063543975259E-2</v>
      </c>
      <c r="H384" s="301">
        <v>7.01765069560213E-3</v>
      </c>
      <c r="I384" s="49" t="s">
        <v>26</v>
      </c>
    </row>
    <row r="385" spans="1:9" ht="17.100000000000001" customHeight="1" x14ac:dyDescent="0.25">
      <c r="A385" s="38" t="s">
        <v>2</v>
      </c>
      <c r="B385" s="299">
        <v>0.18789475854309817</v>
      </c>
      <c r="C385" s="300">
        <v>0.24015633080214815</v>
      </c>
      <c r="D385" s="300">
        <v>9.3006801031223288E-2</v>
      </c>
      <c r="E385" s="300">
        <v>4.8126183445561604E-2</v>
      </c>
      <c r="F385" s="300">
        <v>0.34098243426784836</v>
      </c>
      <c r="G385" s="300">
        <v>8.5420416536824806E-2</v>
      </c>
      <c r="H385" s="301">
        <v>4.4130753733016949E-3</v>
      </c>
      <c r="I385" s="49" t="s">
        <v>2</v>
      </c>
    </row>
    <row r="386" spans="1:9" ht="17.100000000000001" customHeight="1" x14ac:dyDescent="0.25">
      <c r="A386" s="38"/>
      <c r="B386" s="299">
        <v>0.19391014913094609</v>
      </c>
      <c r="C386" s="300">
        <v>0.22402390218977827</v>
      </c>
      <c r="D386" s="300">
        <v>9.8159471081993535E-2</v>
      </c>
      <c r="E386" s="300">
        <v>4.0581483548733956E-2</v>
      </c>
      <c r="F386" s="300">
        <v>0.35408349941945505</v>
      </c>
      <c r="G386" s="300">
        <v>8.6023311525169732E-2</v>
      </c>
      <c r="H386" s="301">
        <v>3.2181831039292713E-3</v>
      </c>
      <c r="I386" s="49" t="s">
        <v>28</v>
      </c>
    </row>
    <row r="387" spans="1:9" ht="17.100000000000001" customHeight="1" x14ac:dyDescent="0.25">
      <c r="A387" s="38"/>
      <c r="B387" s="299">
        <v>0.18418729707089784</v>
      </c>
      <c r="C387" s="300">
        <v>0.20339777913659135</v>
      </c>
      <c r="D387" s="300">
        <v>0.14384522754286927</v>
      </c>
      <c r="E387" s="300">
        <v>5.190878909965347E-2</v>
      </c>
      <c r="F387" s="300">
        <v>0.34593413049602789</v>
      </c>
      <c r="G387" s="300">
        <v>6.9128539100607317E-2</v>
      </c>
      <c r="H387" s="301">
        <v>1.5982375533591254E-3</v>
      </c>
      <c r="I387" s="49" t="s">
        <v>29</v>
      </c>
    </row>
    <row r="388" spans="1:9" ht="17.100000000000001" customHeight="1" x14ac:dyDescent="0.25">
      <c r="A388" s="38"/>
      <c r="B388" s="299">
        <v>0.18072010981336292</v>
      </c>
      <c r="C388" s="300">
        <v>0.20152500935070874</v>
      </c>
      <c r="D388" s="300">
        <v>0.13081134675287071</v>
      </c>
      <c r="E388" s="300">
        <v>4.638544013549608E-2</v>
      </c>
      <c r="F388" s="300">
        <v>0.35983727493752665</v>
      </c>
      <c r="G388" s="300">
        <v>7.9759890276352649E-2</v>
      </c>
      <c r="H388" s="301">
        <v>9.6092873368876361E-4</v>
      </c>
      <c r="I388" s="49" t="s">
        <v>30</v>
      </c>
    </row>
    <row r="389" spans="1:9" ht="17.100000000000001" customHeight="1" x14ac:dyDescent="0.25">
      <c r="A389" s="38"/>
      <c r="B389" s="299">
        <v>0.16775957679475342</v>
      </c>
      <c r="C389" s="300">
        <v>0.15902332217505857</v>
      </c>
      <c r="D389" s="300">
        <v>0.19460586920241024</v>
      </c>
      <c r="E389" s="300">
        <v>4.7909359463935451E-2</v>
      </c>
      <c r="F389" s="300">
        <v>0.35399443783147305</v>
      </c>
      <c r="G389" s="300">
        <v>7.0356602443260557E-2</v>
      </c>
      <c r="H389" s="301">
        <v>6.3508320891149791E-3</v>
      </c>
      <c r="I389" s="49" t="s">
        <v>31</v>
      </c>
    </row>
    <row r="390" spans="1:9" ht="17.100000000000001" customHeight="1" x14ac:dyDescent="0.25">
      <c r="A390" s="38"/>
      <c r="B390" s="299">
        <v>0.1631314096969792</v>
      </c>
      <c r="C390" s="300">
        <v>0.1480178480253285</v>
      </c>
      <c r="D390" s="300">
        <v>0.22103377630214985</v>
      </c>
      <c r="E390" s="300">
        <v>5.6242152451835573E-2</v>
      </c>
      <c r="F390" s="300">
        <v>0.33644190529546791</v>
      </c>
      <c r="G390" s="300">
        <v>7.1446130175760431E-2</v>
      </c>
      <c r="H390" s="301">
        <v>3.686778052484675E-3</v>
      </c>
      <c r="I390" s="49" t="s">
        <v>32</v>
      </c>
    </row>
    <row r="391" spans="1:9" ht="17.100000000000001" customHeight="1" x14ac:dyDescent="0.25">
      <c r="A391" s="38"/>
      <c r="B391" s="299">
        <v>0.14354075918715631</v>
      </c>
      <c r="C391" s="300">
        <v>0.14405317395271722</v>
      </c>
      <c r="D391" s="300">
        <v>0.24722764982217649</v>
      </c>
      <c r="E391" s="300">
        <v>5.5930157130155596E-2</v>
      </c>
      <c r="F391" s="300">
        <v>0.33065114271251195</v>
      </c>
      <c r="G391" s="300">
        <v>7.5313060512105359E-2</v>
      </c>
      <c r="H391" s="301">
        <v>3.2840566831834651E-3</v>
      </c>
      <c r="I391" s="49" t="s">
        <v>33</v>
      </c>
    </row>
    <row r="392" spans="1:9" ht="17.100000000000001" customHeight="1" x14ac:dyDescent="0.25">
      <c r="A392" s="38"/>
      <c r="B392" s="299">
        <v>0.12524430549256513</v>
      </c>
      <c r="C392" s="300">
        <v>0.12619437551678708</v>
      </c>
      <c r="D392" s="300">
        <v>0.21425202504787871</v>
      </c>
      <c r="E392" s="300">
        <v>6.3984202673213475E-2</v>
      </c>
      <c r="F392" s="300">
        <v>0.38045129425061908</v>
      </c>
      <c r="G392" s="300">
        <v>8.2226315363526065E-2</v>
      </c>
      <c r="H392" s="301">
        <v>7.6474816554163794E-3</v>
      </c>
      <c r="I392" s="49" t="s">
        <v>34</v>
      </c>
    </row>
    <row r="393" spans="1:9" ht="17.100000000000001" customHeight="1" x14ac:dyDescent="0.25">
      <c r="A393" s="38" t="s">
        <v>3</v>
      </c>
      <c r="B393" s="299">
        <v>0.11815522104048154</v>
      </c>
      <c r="C393" s="300">
        <v>0.14197177639045019</v>
      </c>
      <c r="D393" s="300">
        <v>0.14707457989952746</v>
      </c>
      <c r="E393" s="300">
        <v>7.3656080127428997E-2</v>
      </c>
      <c r="F393" s="300">
        <v>0.40176539814563733</v>
      </c>
      <c r="G393" s="300">
        <v>0.11031777985967155</v>
      </c>
      <c r="H393" s="301">
        <v>7.0591645368094048E-3</v>
      </c>
      <c r="I393" s="49" t="s">
        <v>3</v>
      </c>
    </row>
    <row r="394" spans="1:9" ht="17.100000000000001" customHeight="1" x14ac:dyDescent="0.25">
      <c r="A394" s="38"/>
      <c r="B394" s="299">
        <v>0.11582370408912927</v>
      </c>
      <c r="C394" s="300">
        <v>0.13104628547073643</v>
      </c>
      <c r="D394" s="300">
        <v>0.15280620067826445</v>
      </c>
      <c r="E394" s="300">
        <v>6.3905909066098457E-2</v>
      </c>
      <c r="F394" s="300">
        <v>0.40646793401361003</v>
      </c>
      <c r="G394" s="300">
        <v>0.12290148901878802</v>
      </c>
      <c r="H394" s="301">
        <v>7.0484776633796742E-3</v>
      </c>
      <c r="I394" s="49" t="s">
        <v>35</v>
      </c>
    </row>
    <row r="395" spans="1:9" ht="17.100000000000001" customHeight="1" x14ac:dyDescent="0.25">
      <c r="A395" s="38"/>
      <c r="B395" s="299">
        <v>0.11461127436166393</v>
      </c>
      <c r="C395" s="300">
        <v>0.1390122725464325</v>
      </c>
      <c r="D395" s="300">
        <v>0.12112530733373732</v>
      </c>
      <c r="E395" s="300">
        <v>6.0564585675361188E-2</v>
      </c>
      <c r="F395" s="300">
        <v>0.41247791780919735</v>
      </c>
      <c r="G395" s="300">
        <v>0.14465297623599141</v>
      </c>
      <c r="H395" s="301">
        <v>7.555666037622942E-3</v>
      </c>
      <c r="I395" s="49" t="s">
        <v>36</v>
      </c>
    </row>
    <row r="396" spans="1:9" ht="17.100000000000001" customHeight="1" x14ac:dyDescent="0.25">
      <c r="A396" s="38"/>
      <c r="B396" s="299">
        <v>0.11674741507639183</v>
      </c>
      <c r="C396" s="300">
        <v>0.14230069088645772</v>
      </c>
      <c r="D396" s="300">
        <v>0.11717863092217624</v>
      </c>
      <c r="E396" s="300">
        <v>4.7340609405347463E-2</v>
      </c>
      <c r="F396" s="300">
        <v>0.41850549132015208</v>
      </c>
      <c r="G396" s="300">
        <v>0.15485640318965624</v>
      </c>
      <c r="H396" s="301">
        <v>3.0707591998248057E-3</v>
      </c>
      <c r="I396" s="49" t="s">
        <v>37</v>
      </c>
    </row>
    <row r="397" spans="1:9" ht="17.100000000000001" customHeight="1" x14ac:dyDescent="0.25">
      <c r="A397" s="38"/>
      <c r="B397" s="299">
        <v>0.10396291221924266</v>
      </c>
      <c r="C397" s="300">
        <v>0.15292819286205345</v>
      </c>
      <c r="D397" s="300">
        <v>0.10627891549275217</v>
      </c>
      <c r="E397" s="300">
        <v>5.1056783983360124E-2</v>
      </c>
      <c r="F397" s="300">
        <v>0.41533173506005655</v>
      </c>
      <c r="G397" s="300">
        <v>0.16229653265713481</v>
      </c>
      <c r="H397" s="301">
        <v>8.1449277254070258E-3</v>
      </c>
      <c r="I397" s="49" t="s">
        <v>38</v>
      </c>
    </row>
    <row r="398" spans="1:9" ht="17.100000000000001" customHeight="1" x14ac:dyDescent="0.25">
      <c r="A398" s="38"/>
      <c r="B398" s="299">
        <v>9.8009874980253431E-2</v>
      </c>
      <c r="C398" s="300">
        <v>0.13774891187751634</v>
      </c>
      <c r="D398" s="300">
        <v>9.9562934157867836E-2</v>
      </c>
      <c r="E398" s="300">
        <v>4.6975836501742994E-2</v>
      </c>
      <c r="F398" s="300">
        <v>0.4131812050339862</v>
      </c>
      <c r="G398" s="300">
        <v>0.19156636004436911</v>
      </c>
      <c r="H398" s="301">
        <v>1.2954877404270594E-2</v>
      </c>
      <c r="I398" s="49" t="s">
        <v>39</v>
      </c>
    </row>
    <row r="399" spans="1:9" ht="17.100000000000001" customHeight="1" x14ac:dyDescent="0.25">
      <c r="A399" s="38"/>
      <c r="B399" s="299">
        <v>7.0473419197607079E-2</v>
      </c>
      <c r="C399" s="300">
        <v>0.10605390124616861</v>
      </c>
      <c r="D399" s="300">
        <v>0.16310988647996846</v>
      </c>
      <c r="E399" s="300">
        <v>5.4259150001532974E-2</v>
      </c>
      <c r="F399" s="300">
        <v>0.31425810909722884</v>
      </c>
      <c r="G399" s="300">
        <v>0.27626385499035699</v>
      </c>
      <c r="H399" s="301">
        <v>1.558167898714341E-2</v>
      </c>
      <c r="I399" s="49" t="s">
        <v>40</v>
      </c>
    </row>
    <row r="400" spans="1:9" ht="17.100000000000001" customHeight="1" x14ac:dyDescent="0.25">
      <c r="A400" s="38"/>
      <c r="B400" s="299">
        <v>5.9284872984075684E-2</v>
      </c>
      <c r="C400" s="300">
        <v>8.9433238071820076E-2</v>
      </c>
      <c r="D400" s="300">
        <v>0.15501419652751833</v>
      </c>
      <c r="E400" s="300">
        <v>5.0466200928192068E-2</v>
      </c>
      <c r="F400" s="300">
        <v>0.3008835099534366</v>
      </c>
      <c r="G400" s="300">
        <v>0.33498321909990614</v>
      </c>
      <c r="H400" s="301">
        <v>9.9347624350576598E-3</v>
      </c>
      <c r="I400" s="49" t="s">
        <v>41</v>
      </c>
    </row>
    <row r="401" spans="1:9" ht="17.100000000000001" customHeight="1" x14ac:dyDescent="0.25">
      <c r="A401" s="38" t="s">
        <v>4</v>
      </c>
      <c r="B401" s="299">
        <v>3.4587894545096372E-2</v>
      </c>
      <c r="C401" s="300">
        <v>6.6904668273491674E-2</v>
      </c>
      <c r="D401" s="300">
        <v>0.16904012120824777</v>
      </c>
      <c r="E401" s="300">
        <v>5.760037014856563E-2</v>
      </c>
      <c r="F401" s="300">
        <v>0.28643447567998881</v>
      </c>
      <c r="G401" s="300">
        <v>0.37732070636975545</v>
      </c>
      <c r="H401" s="301">
        <v>8.1117637748604112E-3</v>
      </c>
      <c r="I401" s="49" t="s">
        <v>4</v>
      </c>
    </row>
    <row r="402" spans="1:9" ht="17.100000000000001" customHeight="1" x14ac:dyDescent="0.25">
      <c r="A402" s="38"/>
      <c r="B402" s="299">
        <v>4.296054312652911E-2</v>
      </c>
      <c r="C402" s="300">
        <v>4.6313083440522498E-2</v>
      </c>
      <c r="D402" s="300">
        <v>0.12763087712921342</v>
      </c>
      <c r="E402" s="300">
        <v>4.7346010004442177E-2</v>
      </c>
      <c r="F402" s="300">
        <v>0.27006179499809435</v>
      </c>
      <c r="G402" s="300">
        <v>0.45599339048454418</v>
      </c>
      <c r="H402" s="301">
        <v>9.6943008166596005E-3</v>
      </c>
      <c r="I402" s="49" t="s">
        <v>43</v>
      </c>
    </row>
    <row r="403" spans="1:9" ht="17.100000000000001" customHeight="1" x14ac:dyDescent="0.25">
      <c r="A403" s="38"/>
      <c r="B403" s="299">
        <v>4.0875868050781639E-2</v>
      </c>
      <c r="C403" s="300">
        <v>3.999611193429789E-2</v>
      </c>
      <c r="D403" s="300">
        <v>7.3505997889987018E-2</v>
      </c>
      <c r="E403" s="300">
        <v>0.12230585160257469</v>
      </c>
      <c r="F403" s="300">
        <v>0.22835755786615297</v>
      </c>
      <c r="G403" s="300">
        <v>0.48510752982012023</v>
      </c>
      <c r="H403" s="301">
        <v>9.8510828360911951E-3</v>
      </c>
      <c r="I403" s="49" t="s">
        <v>42</v>
      </c>
    </row>
    <row r="404" spans="1:9" ht="17.100000000000001" customHeight="1" x14ac:dyDescent="0.25">
      <c r="A404" s="38"/>
      <c r="B404" s="299">
        <v>3.5890391756459E-2</v>
      </c>
      <c r="C404" s="300">
        <v>2.4814181125458259E-2</v>
      </c>
      <c r="D404" s="300">
        <v>3.5828833453562352E-2</v>
      </c>
      <c r="E404" s="300">
        <v>0.15205895094305663</v>
      </c>
      <c r="F404" s="300">
        <v>0.2241533392661442</v>
      </c>
      <c r="G404" s="300">
        <v>0.51840460214986006</v>
      </c>
      <c r="H404" s="301">
        <v>8.8497013054654409E-3</v>
      </c>
      <c r="I404" s="49" t="s">
        <v>44</v>
      </c>
    </row>
    <row r="405" spans="1:9" ht="17.100000000000001" customHeight="1" x14ac:dyDescent="0.25">
      <c r="A405" s="38"/>
      <c r="B405" s="299">
        <v>3.5544985154008946E-2</v>
      </c>
      <c r="C405" s="300">
        <v>1.839903660658081E-2</v>
      </c>
      <c r="D405" s="300">
        <v>2.376591410459104E-2</v>
      </c>
      <c r="E405" s="300">
        <v>0.39606652898040828</v>
      </c>
      <c r="F405" s="300">
        <v>0.18746640899937994</v>
      </c>
      <c r="G405" s="300">
        <v>0.32980380739287296</v>
      </c>
      <c r="H405" s="301">
        <v>8.9533187621641478E-3</v>
      </c>
      <c r="I405" s="49" t="s">
        <v>45</v>
      </c>
    </row>
    <row r="406" spans="1:9" ht="17.100000000000001" customHeight="1" x14ac:dyDescent="0.25">
      <c r="A406" s="38"/>
      <c r="B406" s="299">
        <v>2.8516651593851569E-2</v>
      </c>
      <c r="C406" s="300">
        <v>7.6111735294624693E-3</v>
      </c>
      <c r="D406" s="300">
        <v>2.2114286882222955E-2</v>
      </c>
      <c r="E406" s="300">
        <v>0.47328076241251632</v>
      </c>
      <c r="F406" s="300">
        <v>0.18109883194300522</v>
      </c>
      <c r="G406" s="300">
        <v>0.28342471034360484</v>
      </c>
      <c r="H406" s="301">
        <v>3.9535832953417997E-3</v>
      </c>
      <c r="I406" s="49" t="s">
        <v>46</v>
      </c>
    </row>
    <row r="407" spans="1:9" ht="17.100000000000001" customHeight="1" x14ac:dyDescent="0.25">
      <c r="A407" s="38"/>
      <c r="B407" s="299">
        <v>1.9900911607754417E-2</v>
      </c>
      <c r="C407" s="300">
        <v>6.5896345425318663E-3</v>
      </c>
      <c r="D407" s="300">
        <v>1.1144653868231562E-2</v>
      </c>
      <c r="E407" s="300">
        <v>0.66062892052086819</v>
      </c>
      <c r="F407" s="300">
        <v>0.14449457523977408</v>
      </c>
      <c r="G407" s="300">
        <v>0.15628969224485509</v>
      </c>
      <c r="H407" s="301">
        <v>9.5161197598959805E-4</v>
      </c>
      <c r="I407" s="49" t="s">
        <v>47</v>
      </c>
    </row>
    <row r="408" spans="1:9" ht="17.100000000000001" customHeight="1" x14ac:dyDescent="0.25">
      <c r="A408" s="38"/>
      <c r="B408" s="299">
        <v>1.9391000138593163E-2</v>
      </c>
      <c r="C408" s="300">
        <v>2.1632889777701407E-3</v>
      </c>
      <c r="D408" s="300">
        <v>4.0889001631273358E-3</v>
      </c>
      <c r="E408" s="300">
        <v>0.77247800542833867</v>
      </c>
      <c r="F408" s="300">
        <v>9.7032093965623997E-2</v>
      </c>
      <c r="G408" s="300">
        <v>9.9527637237351613E-2</v>
      </c>
      <c r="H408" s="301">
        <v>5.3190740891978592E-3</v>
      </c>
      <c r="I408" s="49" t="s">
        <v>48</v>
      </c>
    </row>
    <row r="409" spans="1:9" ht="17.100000000000001" customHeight="1" x14ac:dyDescent="0.25">
      <c r="A409" s="38" t="s">
        <v>5</v>
      </c>
      <c r="B409" s="299">
        <v>1.9191115704042805E-2</v>
      </c>
      <c r="C409" s="300">
        <v>3.2186445826902304E-3</v>
      </c>
      <c r="D409" s="300">
        <v>1.754903277813974E-3</v>
      </c>
      <c r="E409" s="300">
        <v>0.87144215679750492</v>
      </c>
      <c r="F409" s="300">
        <v>5.7093101848380748E-2</v>
      </c>
      <c r="G409" s="300">
        <v>4.7300077789568393E-2</v>
      </c>
      <c r="H409" s="301">
        <v>0</v>
      </c>
      <c r="I409" s="49" t="s">
        <v>5</v>
      </c>
    </row>
    <row r="410" spans="1:9" ht="17.100000000000001" customHeight="1" x14ac:dyDescent="0.25">
      <c r="A410" s="38"/>
      <c r="B410" s="299">
        <v>1.4456527430545667E-2</v>
      </c>
      <c r="C410" s="300">
        <v>0</v>
      </c>
      <c r="D410" s="300">
        <v>9.4526199447193511E-4</v>
      </c>
      <c r="E410" s="300">
        <v>0.90313506509392671</v>
      </c>
      <c r="F410" s="300">
        <v>3.9183515137811202E-2</v>
      </c>
      <c r="G410" s="300">
        <v>3.94861619685846E-2</v>
      </c>
      <c r="H410" s="301">
        <v>2.7934683746607706E-3</v>
      </c>
      <c r="I410" s="49" t="s">
        <v>49</v>
      </c>
    </row>
    <row r="411" spans="1:9" ht="17.100000000000001" customHeight="1" x14ac:dyDescent="0.25">
      <c r="A411" s="38"/>
      <c r="B411" s="299">
        <v>9.3464780573583751E-3</v>
      </c>
      <c r="C411" s="300">
        <v>1.4738449483703432E-3</v>
      </c>
      <c r="D411" s="300">
        <v>1.2813638813518164E-3</v>
      </c>
      <c r="E411" s="300">
        <v>0.96669723677563579</v>
      </c>
      <c r="F411" s="300">
        <v>1.0476368103627398E-2</v>
      </c>
      <c r="G411" s="300">
        <v>9.3423017476968514E-3</v>
      </c>
      <c r="H411" s="301">
        <v>1.3824064859594665E-3</v>
      </c>
      <c r="I411" s="49" t="s">
        <v>50</v>
      </c>
    </row>
    <row r="412" spans="1:9" ht="17.100000000000001" customHeight="1" x14ac:dyDescent="0.25">
      <c r="A412" s="38"/>
      <c r="B412" s="299">
        <v>9.2297420523845698E-3</v>
      </c>
      <c r="C412" s="300">
        <v>0</v>
      </c>
      <c r="D412" s="300">
        <v>9.0633619478528067E-4</v>
      </c>
      <c r="E412" s="300">
        <v>0.9726120286357629</v>
      </c>
      <c r="F412" s="300">
        <v>7.811451080344132E-3</v>
      </c>
      <c r="G412" s="300">
        <v>8.0580355507636342E-3</v>
      </c>
      <c r="H412" s="301">
        <v>1.3824064859594665E-3</v>
      </c>
      <c r="I412" s="49" t="s">
        <v>51</v>
      </c>
    </row>
    <row r="413" spans="1:9" ht="17.100000000000001" customHeight="1" x14ac:dyDescent="0.25">
      <c r="A413" s="38"/>
      <c r="B413" s="299">
        <v>9.2297420523845698E-3</v>
      </c>
      <c r="C413" s="300">
        <v>0</v>
      </c>
      <c r="D413" s="300">
        <v>5.7545988607250048E-4</v>
      </c>
      <c r="E413" s="300">
        <v>0.98377303645297287</v>
      </c>
      <c r="F413" s="300">
        <v>4.1279909945046425E-3</v>
      </c>
      <c r="G413" s="300">
        <v>2.2937706140654895E-3</v>
      </c>
      <c r="H413" s="301">
        <v>0</v>
      </c>
      <c r="I413" s="49" t="s">
        <v>52</v>
      </c>
    </row>
    <row r="414" spans="1:9" ht="17.100000000000001" customHeight="1" x14ac:dyDescent="0.25">
      <c r="A414" s="38"/>
      <c r="B414" s="299">
        <v>8.9038142660458792E-3</v>
      </c>
      <c r="C414" s="300">
        <v>0</v>
      </c>
      <c r="D414" s="300">
        <v>5.7545988607250048E-4</v>
      </c>
      <c r="E414" s="300">
        <v>0.98545382650090541</v>
      </c>
      <c r="F414" s="300">
        <v>3.6909263501263955E-3</v>
      </c>
      <c r="G414" s="300">
        <v>1.3759729968496899E-3</v>
      </c>
      <c r="H414" s="301">
        <v>0</v>
      </c>
      <c r="I414" s="49" t="s">
        <v>53</v>
      </c>
    </row>
    <row r="415" spans="1:9" ht="17.100000000000001" customHeight="1" x14ac:dyDescent="0.25">
      <c r="A415" s="38"/>
      <c r="B415" s="299">
        <v>8.9038142660458792E-3</v>
      </c>
      <c r="C415" s="300">
        <v>0</v>
      </c>
      <c r="D415" s="300">
        <v>0</v>
      </c>
      <c r="E415" s="300">
        <v>0.98873895232337328</v>
      </c>
      <c r="F415" s="300">
        <v>1.9150372720239124E-3</v>
      </c>
      <c r="G415" s="300">
        <v>4.4219613855701087E-4</v>
      </c>
      <c r="H415" s="301">
        <v>0</v>
      </c>
      <c r="I415" s="49" t="s">
        <v>54</v>
      </c>
    </row>
    <row r="416" spans="1:9" ht="17.100000000000001" customHeight="1" x14ac:dyDescent="0.25">
      <c r="A416" s="39" t="s">
        <v>6</v>
      </c>
      <c r="B416" s="302">
        <v>1.0051055126257279E-2</v>
      </c>
      <c r="C416" s="303">
        <v>0</v>
      </c>
      <c r="D416" s="303">
        <v>0</v>
      </c>
      <c r="E416" s="303">
        <v>0.98879479532511116</v>
      </c>
      <c r="F416" s="303">
        <v>1.1541495486316923E-3</v>
      </c>
      <c r="G416" s="303">
        <v>0</v>
      </c>
      <c r="H416" s="304">
        <v>0</v>
      </c>
      <c r="I416" s="50" t="s">
        <v>6</v>
      </c>
    </row>
    <row r="418" spans="1:22" ht="21" customHeight="1" x14ac:dyDescent="0.25">
      <c r="A418" s="1368" t="s">
        <v>706</v>
      </c>
      <c r="B418" s="1365"/>
      <c r="C418" s="1365"/>
      <c r="D418" s="1365"/>
      <c r="E418" s="1365"/>
      <c r="F418" s="1365"/>
      <c r="G418" s="1365"/>
      <c r="H418" s="1366"/>
    </row>
    <row r="419" spans="1:22" ht="33.75" customHeight="1" x14ac:dyDescent="0.25">
      <c r="A419" s="1359"/>
      <c r="B419" s="34"/>
      <c r="C419" s="35"/>
      <c r="D419" s="35"/>
      <c r="E419" s="35"/>
      <c r="F419" s="35"/>
      <c r="G419" s="35"/>
      <c r="H419" s="36"/>
      <c r="I419" s="1353"/>
      <c r="K419" s="1355" t="s">
        <v>692</v>
      </c>
      <c r="L419" s="1355"/>
      <c r="M419" s="1355"/>
      <c r="N419" s="1355"/>
      <c r="O419" s="1355"/>
      <c r="P419" s="1355"/>
      <c r="Q419" s="1355"/>
      <c r="R419" s="1355"/>
      <c r="S419" s="1355"/>
      <c r="T419" s="1355"/>
      <c r="U419" s="1355"/>
      <c r="V419" s="1355"/>
    </row>
    <row r="420" spans="1:22" ht="33.75" customHeight="1" x14ac:dyDescent="0.25">
      <c r="A420" s="1360"/>
      <c r="B420" s="293" t="s">
        <v>113</v>
      </c>
      <c r="C420" s="293" t="s">
        <v>114</v>
      </c>
      <c r="D420" s="294" t="s">
        <v>409</v>
      </c>
      <c r="E420" s="294" t="s">
        <v>410</v>
      </c>
      <c r="F420" s="294" t="s">
        <v>117</v>
      </c>
      <c r="G420" s="294" t="s">
        <v>411</v>
      </c>
      <c r="H420" s="295" t="s">
        <v>118</v>
      </c>
      <c r="I420" s="1354"/>
    </row>
    <row r="421" spans="1:22" ht="17.100000000000001" customHeight="1" x14ac:dyDescent="0.25">
      <c r="A421" s="37" t="s">
        <v>0</v>
      </c>
      <c r="B421" s="296">
        <v>3.3589775119316854E-3</v>
      </c>
      <c r="C421" s="297">
        <v>1.5317191120146059E-3</v>
      </c>
      <c r="D421" s="297">
        <v>0</v>
      </c>
      <c r="E421" s="297">
        <v>0.98815376745365113</v>
      </c>
      <c r="F421" s="297">
        <v>5.2927849589070467E-3</v>
      </c>
      <c r="G421" s="297">
        <v>1.6627509634953152E-3</v>
      </c>
      <c r="H421" s="298">
        <v>0</v>
      </c>
      <c r="I421" s="51" t="s">
        <v>0</v>
      </c>
    </row>
    <row r="422" spans="1:22" ht="17.100000000000001" customHeight="1" x14ac:dyDescent="0.25">
      <c r="A422" s="38"/>
      <c r="B422" s="299">
        <v>5.0217284754270012E-3</v>
      </c>
      <c r="C422" s="300">
        <v>2.5416211574706051E-3</v>
      </c>
      <c r="D422" s="300">
        <v>5.4040052584049486E-4</v>
      </c>
      <c r="E422" s="300">
        <v>0.986391226167185</v>
      </c>
      <c r="F422" s="300">
        <v>5.5050236740767774E-3</v>
      </c>
      <c r="G422" s="300">
        <v>0</v>
      </c>
      <c r="H422" s="301">
        <v>0</v>
      </c>
      <c r="I422" s="53" t="s">
        <v>14</v>
      </c>
    </row>
    <row r="423" spans="1:22" ht="17.100000000000001" customHeight="1" x14ac:dyDescent="0.25">
      <c r="A423" s="38"/>
      <c r="B423" s="299">
        <v>1.0456875810777927E-2</v>
      </c>
      <c r="C423" s="300">
        <v>9.0239412821060041E-3</v>
      </c>
      <c r="D423" s="300">
        <v>2.3128229966070532E-4</v>
      </c>
      <c r="E423" s="300">
        <v>0.97539807731291606</v>
      </c>
      <c r="F423" s="300">
        <v>4.8898232945390517E-3</v>
      </c>
      <c r="G423" s="300">
        <v>0</v>
      </c>
      <c r="H423" s="301">
        <v>0</v>
      </c>
      <c r="I423" s="52" t="s">
        <v>15</v>
      </c>
    </row>
    <row r="424" spans="1:22" ht="17.100000000000001" customHeight="1" x14ac:dyDescent="0.25">
      <c r="A424" s="38"/>
      <c r="B424" s="299">
        <v>2.3562798438816149E-2</v>
      </c>
      <c r="C424" s="300">
        <v>8.1732155981303969E-3</v>
      </c>
      <c r="D424" s="300">
        <v>8.1690718066927646E-3</v>
      </c>
      <c r="E424" s="300">
        <v>0.9535175778204803</v>
      </c>
      <c r="F424" s="300">
        <v>6.5773363358802624E-3</v>
      </c>
      <c r="G424" s="300">
        <v>0</v>
      </c>
      <c r="H424" s="301">
        <v>0</v>
      </c>
      <c r="I424" s="49" t="s">
        <v>16</v>
      </c>
    </row>
    <row r="425" spans="1:22" ht="17.100000000000001" customHeight="1" x14ac:dyDescent="0.25">
      <c r="A425" s="38"/>
      <c r="B425" s="299">
        <v>3.3688102799958111E-2</v>
      </c>
      <c r="C425" s="300">
        <v>2.2417273507409286E-2</v>
      </c>
      <c r="D425" s="300">
        <v>1.0894843877653135E-2</v>
      </c>
      <c r="E425" s="300">
        <v>0.92627732990067646</v>
      </c>
      <c r="F425" s="300">
        <v>4.4910241042720386E-3</v>
      </c>
      <c r="G425" s="300">
        <v>2.2314258100306797E-3</v>
      </c>
      <c r="H425" s="301">
        <v>0</v>
      </c>
      <c r="I425" s="49" t="s">
        <v>17</v>
      </c>
    </row>
    <row r="426" spans="1:22" ht="17.100000000000001" customHeight="1" x14ac:dyDescent="0.25">
      <c r="A426" s="38"/>
      <c r="B426" s="299">
        <v>4.2025582883824603E-2</v>
      </c>
      <c r="C426" s="300">
        <v>4.1218025033891062E-2</v>
      </c>
      <c r="D426" s="300">
        <v>3.2783077753590406E-2</v>
      </c>
      <c r="E426" s="300">
        <v>0.87093705975358915</v>
      </c>
      <c r="F426" s="300">
        <v>8.4657336949511431E-3</v>
      </c>
      <c r="G426" s="300">
        <v>3.8366150652010241E-3</v>
      </c>
      <c r="H426" s="301">
        <v>7.3390581495147032E-4</v>
      </c>
      <c r="I426" s="49" t="s">
        <v>18</v>
      </c>
    </row>
    <row r="427" spans="1:22" ht="17.100000000000001" customHeight="1" x14ac:dyDescent="0.25">
      <c r="A427" s="38"/>
      <c r="B427" s="299">
        <v>5.5508069752976619E-2</v>
      </c>
      <c r="C427" s="300">
        <v>7.6648183083652455E-2</v>
      </c>
      <c r="D427" s="300">
        <v>5.8628687463160099E-2</v>
      </c>
      <c r="E427" s="300">
        <v>0.7904628532611977</v>
      </c>
      <c r="F427" s="300">
        <v>1.2877141868900261E-2</v>
      </c>
      <c r="G427" s="300">
        <v>4.8423132991628412E-3</v>
      </c>
      <c r="H427" s="301">
        <v>1.0327512709471466E-3</v>
      </c>
      <c r="I427" s="49" t="s">
        <v>19</v>
      </c>
    </row>
    <row r="428" spans="1:22" ht="17.100000000000001" customHeight="1" x14ac:dyDescent="0.25">
      <c r="A428" s="38"/>
      <c r="B428" s="299">
        <v>6.2116961245021141E-2</v>
      </c>
      <c r="C428" s="300">
        <v>0.16912119733423997</v>
      </c>
      <c r="D428" s="300">
        <v>0.13217975920957759</v>
      </c>
      <c r="E428" s="300">
        <v>0.60568569635192815</v>
      </c>
      <c r="F428" s="300">
        <v>2.0050670098169035E-2</v>
      </c>
      <c r="G428" s="300">
        <v>9.3519490791400227E-3</v>
      </c>
      <c r="H428" s="301">
        <v>1.4937666819152913E-3</v>
      </c>
      <c r="I428" s="49" t="s">
        <v>20</v>
      </c>
    </row>
    <row r="429" spans="1:22" ht="17.100000000000001" customHeight="1" x14ac:dyDescent="0.25">
      <c r="A429" s="38" t="s">
        <v>1</v>
      </c>
      <c r="B429" s="299">
        <v>7.6737586300229393E-2</v>
      </c>
      <c r="C429" s="300">
        <v>0.23100177252668291</v>
      </c>
      <c r="D429" s="300">
        <v>0.16236944210832183</v>
      </c>
      <c r="E429" s="300">
        <v>0.48069084496205616</v>
      </c>
      <c r="F429" s="300">
        <v>3.2447661714450696E-2</v>
      </c>
      <c r="G429" s="300">
        <v>1.3915834271314997E-2</v>
      </c>
      <c r="H429" s="301">
        <v>2.8368581169347824E-3</v>
      </c>
      <c r="I429" s="49" t="s">
        <v>1</v>
      </c>
    </row>
    <row r="430" spans="1:22" ht="17.100000000000001" customHeight="1" x14ac:dyDescent="0.25">
      <c r="A430" s="38"/>
      <c r="B430" s="299">
        <v>8.2931228486562827E-2</v>
      </c>
      <c r="C430" s="300">
        <v>0.29040728759053008</v>
      </c>
      <c r="D430" s="300">
        <v>0.22151155294445302</v>
      </c>
      <c r="E430" s="300">
        <v>0.31598158194870396</v>
      </c>
      <c r="F430" s="300">
        <v>6.3323716399745655E-2</v>
      </c>
      <c r="G430" s="300">
        <v>2.265072109401579E-2</v>
      </c>
      <c r="H430" s="301">
        <v>3.1939115359805124E-3</v>
      </c>
      <c r="I430" s="49" t="s">
        <v>21</v>
      </c>
    </row>
    <row r="431" spans="1:22" ht="17.100000000000001" customHeight="1" x14ac:dyDescent="0.25">
      <c r="A431" s="38"/>
      <c r="B431" s="299">
        <v>8.3844608472093768E-2</v>
      </c>
      <c r="C431" s="300">
        <v>0.35005774775246662</v>
      </c>
      <c r="D431" s="300">
        <v>0.22945661245347021</v>
      </c>
      <c r="E431" s="300">
        <v>0.23083312315820698</v>
      </c>
      <c r="F431" s="300">
        <v>6.6530238790359061E-2</v>
      </c>
      <c r="G431" s="300">
        <v>2.9931099799002804E-2</v>
      </c>
      <c r="H431" s="301">
        <v>9.3465695743916305E-3</v>
      </c>
      <c r="I431" s="49" t="s">
        <v>22</v>
      </c>
    </row>
    <row r="432" spans="1:22" ht="17.100000000000001" customHeight="1" x14ac:dyDescent="0.25">
      <c r="A432" s="38"/>
      <c r="B432" s="299">
        <v>8.8506641666824717E-2</v>
      </c>
      <c r="C432" s="300">
        <v>0.38910141784742075</v>
      </c>
      <c r="D432" s="300">
        <v>0.23070939620968306</v>
      </c>
      <c r="E432" s="300">
        <v>0.15355163248101952</v>
      </c>
      <c r="F432" s="300">
        <v>9.0881809913370193E-2</v>
      </c>
      <c r="G432" s="300">
        <v>3.677558893658199E-2</v>
      </c>
      <c r="H432" s="301">
        <v>1.0473512945090189E-2</v>
      </c>
      <c r="I432" s="49" t="s">
        <v>23</v>
      </c>
    </row>
    <row r="433" spans="1:9" ht="17.100000000000001" customHeight="1" x14ac:dyDescent="0.25">
      <c r="A433" s="38"/>
      <c r="B433" s="299">
        <v>7.6720135973173412E-2</v>
      </c>
      <c r="C433" s="300">
        <v>0.45913264940501258</v>
      </c>
      <c r="D433" s="300">
        <v>0.17864266565398065</v>
      </c>
      <c r="E433" s="300">
        <v>0.11026021730238134</v>
      </c>
      <c r="F433" s="300">
        <v>0.13034098137632663</v>
      </c>
      <c r="G433" s="300">
        <v>3.4184593442015763E-2</v>
      </c>
      <c r="H433" s="301">
        <v>1.0718756847099019E-2</v>
      </c>
      <c r="I433" s="49" t="s">
        <v>24</v>
      </c>
    </row>
    <row r="434" spans="1:9" ht="17.100000000000001" customHeight="1" x14ac:dyDescent="0.25">
      <c r="A434" s="38"/>
      <c r="B434" s="299">
        <v>9.3282099914277411E-2</v>
      </c>
      <c r="C434" s="300">
        <v>0.47055548176293643</v>
      </c>
      <c r="D434" s="300">
        <v>0.16723102259329653</v>
      </c>
      <c r="E434" s="300">
        <v>6.6488946706190197E-2</v>
      </c>
      <c r="F434" s="300">
        <v>0.14962452640314008</v>
      </c>
      <c r="G434" s="300">
        <v>4.4273426445434055E-2</v>
      </c>
      <c r="H434" s="301">
        <v>8.5444961747145956E-3</v>
      </c>
      <c r="I434" s="49" t="s">
        <v>25</v>
      </c>
    </row>
    <row r="435" spans="1:9" ht="17.100000000000001" customHeight="1" x14ac:dyDescent="0.25">
      <c r="A435" s="38"/>
      <c r="B435" s="299">
        <v>0.10774912450432064</v>
      </c>
      <c r="C435" s="300">
        <v>0.48580543364547124</v>
      </c>
      <c r="D435" s="300">
        <v>0.11273748815974458</v>
      </c>
      <c r="E435" s="300">
        <v>5.305333600661305E-2</v>
      </c>
      <c r="F435" s="300">
        <v>0.18270411135847531</v>
      </c>
      <c r="G435" s="300">
        <v>4.9692472420652153E-2</v>
      </c>
      <c r="H435" s="301">
        <v>8.2580339047130542E-3</v>
      </c>
      <c r="I435" s="49" t="s">
        <v>27</v>
      </c>
    </row>
    <row r="436" spans="1:9" ht="17.100000000000001" customHeight="1" x14ac:dyDescent="0.25">
      <c r="A436" s="38"/>
      <c r="B436" s="299">
        <v>0.11811871845425247</v>
      </c>
      <c r="C436" s="300">
        <v>0.4863625625407319</v>
      </c>
      <c r="D436" s="300">
        <v>7.6232410069426007E-2</v>
      </c>
      <c r="E436" s="300">
        <v>3.6463687035346103E-2</v>
      </c>
      <c r="F436" s="300">
        <v>0.2110810574290225</v>
      </c>
      <c r="G436" s="300">
        <v>5.9842218225782708E-2</v>
      </c>
      <c r="H436" s="301">
        <v>1.1899346245428027E-2</v>
      </c>
      <c r="I436" s="49" t="s">
        <v>26</v>
      </c>
    </row>
    <row r="437" spans="1:9" ht="17.100000000000001" customHeight="1" x14ac:dyDescent="0.25">
      <c r="A437" s="38" t="s">
        <v>2</v>
      </c>
      <c r="B437" s="299">
        <v>9.9783230601535669E-2</v>
      </c>
      <c r="C437" s="300">
        <v>0.45396869555881458</v>
      </c>
      <c r="D437" s="300">
        <v>0.10633711541156758</v>
      </c>
      <c r="E437" s="300">
        <v>3.4804749511231643E-2</v>
      </c>
      <c r="F437" s="300">
        <v>0.23779817636448639</v>
      </c>
      <c r="G437" s="300">
        <v>5.8387284470189066E-2</v>
      </c>
      <c r="H437" s="301">
        <v>8.9207480821645903E-3</v>
      </c>
      <c r="I437" s="49" t="s">
        <v>2</v>
      </c>
    </row>
    <row r="438" spans="1:9" ht="17.100000000000001" customHeight="1" x14ac:dyDescent="0.25">
      <c r="A438" s="38"/>
      <c r="B438" s="299">
        <v>0.11959253064486658</v>
      </c>
      <c r="C438" s="300">
        <v>0.4513953184697963</v>
      </c>
      <c r="D438" s="300">
        <v>0.10016451125078958</v>
      </c>
      <c r="E438" s="300">
        <v>3.2230050286219301E-2</v>
      </c>
      <c r="F438" s="300">
        <v>0.23101336193138988</v>
      </c>
      <c r="G438" s="300">
        <v>6.1594598252241665E-2</v>
      </c>
      <c r="H438" s="301">
        <v>4.0096291646862106E-3</v>
      </c>
      <c r="I438" s="49" t="s">
        <v>28</v>
      </c>
    </row>
    <row r="439" spans="1:9" ht="17.100000000000001" customHeight="1" x14ac:dyDescent="0.25">
      <c r="A439" s="38"/>
      <c r="B439" s="299">
        <v>0.11187279906802658</v>
      </c>
      <c r="C439" s="300">
        <v>0.4104369369281371</v>
      </c>
      <c r="D439" s="300">
        <v>0.13180155316932463</v>
      </c>
      <c r="E439" s="300">
        <v>3.6862892380470795E-2</v>
      </c>
      <c r="F439" s="300">
        <v>0.25466931053069175</v>
      </c>
      <c r="G439" s="300">
        <v>5.001995921877872E-2</v>
      </c>
      <c r="H439" s="301">
        <v>4.3365487045605782E-3</v>
      </c>
      <c r="I439" s="49" t="s">
        <v>29</v>
      </c>
    </row>
    <row r="440" spans="1:9" ht="17.100000000000001" customHeight="1" x14ac:dyDescent="0.25">
      <c r="A440" s="38"/>
      <c r="B440" s="299">
        <v>0.11482743029570532</v>
      </c>
      <c r="C440" s="300">
        <v>0.4124741801604801</v>
      </c>
      <c r="D440" s="300">
        <v>0.1227478198308896</v>
      </c>
      <c r="E440" s="300">
        <v>3.1284324151644581E-2</v>
      </c>
      <c r="F440" s="300">
        <v>0.26185447821587565</v>
      </c>
      <c r="G440" s="300">
        <v>5.3597314429459961E-2</v>
      </c>
      <c r="H440" s="301">
        <v>3.2144529159353896E-3</v>
      </c>
      <c r="I440" s="49" t="s">
        <v>30</v>
      </c>
    </row>
    <row r="441" spans="1:9" ht="17.100000000000001" customHeight="1" x14ac:dyDescent="0.25">
      <c r="A441" s="38"/>
      <c r="B441" s="299">
        <v>0.10889268372175978</v>
      </c>
      <c r="C441" s="300">
        <v>0.36437015225821034</v>
      </c>
      <c r="D441" s="300">
        <v>0.19495778291971924</v>
      </c>
      <c r="E441" s="300">
        <v>2.1725735411953856E-2</v>
      </c>
      <c r="F441" s="300">
        <v>0.25404234673557918</v>
      </c>
      <c r="G441" s="300">
        <v>4.6326710867473392E-2</v>
      </c>
      <c r="H441" s="301">
        <v>9.6845880852946837E-3</v>
      </c>
      <c r="I441" s="49" t="s">
        <v>31</v>
      </c>
    </row>
    <row r="442" spans="1:9" ht="17.100000000000001" customHeight="1" x14ac:dyDescent="0.25">
      <c r="A442" s="38"/>
      <c r="B442" s="299">
        <v>9.5658483154655916E-2</v>
      </c>
      <c r="C442" s="300">
        <v>0.32384425677319872</v>
      </c>
      <c r="D442" s="300">
        <v>0.22250050332590834</v>
      </c>
      <c r="E442" s="300">
        <v>3.1152212506868414E-2</v>
      </c>
      <c r="F442" s="300">
        <v>0.27088669898142786</v>
      </c>
      <c r="G442" s="300">
        <v>5.186461138656151E-2</v>
      </c>
      <c r="H442" s="301">
        <v>4.0932338713709701E-3</v>
      </c>
      <c r="I442" s="49" t="s">
        <v>32</v>
      </c>
    </row>
    <row r="443" spans="1:9" ht="17.100000000000001" customHeight="1" x14ac:dyDescent="0.25">
      <c r="A443" s="38"/>
      <c r="B443" s="299">
        <v>8.2462944248232153E-2</v>
      </c>
      <c r="C443" s="300">
        <v>0.25744987973370814</v>
      </c>
      <c r="D443" s="300">
        <v>0.25363765606470967</v>
      </c>
      <c r="E443" s="300">
        <v>3.1613224675611194E-2</v>
      </c>
      <c r="F443" s="300">
        <v>0.29948597427294077</v>
      </c>
      <c r="G443" s="300">
        <v>7.1008124721838192E-2</v>
      </c>
      <c r="H443" s="301">
        <v>4.3421962829515576E-3</v>
      </c>
      <c r="I443" s="49" t="s">
        <v>33</v>
      </c>
    </row>
    <row r="444" spans="1:9" ht="17.100000000000001" customHeight="1" x14ac:dyDescent="0.25">
      <c r="A444" s="38"/>
      <c r="B444" s="299">
        <v>5.8261315364824269E-2</v>
      </c>
      <c r="C444" s="300">
        <v>0.23314627450424324</v>
      </c>
      <c r="D444" s="300">
        <v>0.24238209730225166</v>
      </c>
      <c r="E444" s="300">
        <v>3.8218932837232017E-2</v>
      </c>
      <c r="F444" s="300">
        <v>0.34592727905616305</v>
      </c>
      <c r="G444" s="300">
        <v>7.9916982407259293E-2</v>
      </c>
      <c r="H444" s="301">
        <v>2.1471185280177974E-3</v>
      </c>
      <c r="I444" s="49" t="s">
        <v>34</v>
      </c>
    </row>
    <row r="445" spans="1:9" ht="17.100000000000001" customHeight="1" x14ac:dyDescent="0.25">
      <c r="A445" s="38" t="s">
        <v>3</v>
      </c>
      <c r="B445" s="299">
        <v>5.1666339559817101E-2</v>
      </c>
      <c r="C445" s="300">
        <v>0.2409908976004973</v>
      </c>
      <c r="D445" s="300">
        <v>0.14218508539687186</v>
      </c>
      <c r="E445" s="300">
        <v>6.020357535720209E-2</v>
      </c>
      <c r="F445" s="300">
        <v>0.38884192480417129</v>
      </c>
      <c r="G445" s="300">
        <v>0.11099280599703548</v>
      </c>
      <c r="H445" s="301">
        <v>5.1193712843954934E-3</v>
      </c>
      <c r="I445" s="49" t="s">
        <v>3</v>
      </c>
    </row>
    <row r="446" spans="1:9" ht="17.100000000000001" customHeight="1" x14ac:dyDescent="0.25">
      <c r="A446" s="38"/>
      <c r="B446" s="299">
        <v>4.6436739608011805E-2</v>
      </c>
      <c r="C446" s="300">
        <v>0.20535923243212045</v>
      </c>
      <c r="D446" s="300">
        <v>0.15661158703161698</v>
      </c>
      <c r="E446" s="300">
        <v>6.10326293444797E-2</v>
      </c>
      <c r="F446" s="300">
        <v>0.40054407880972126</v>
      </c>
      <c r="G446" s="300">
        <v>0.12528820843945709</v>
      </c>
      <c r="H446" s="301">
        <v>4.7275243345830126E-3</v>
      </c>
      <c r="I446" s="49" t="s">
        <v>35</v>
      </c>
    </row>
    <row r="447" spans="1:9" ht="17.100000000000001" customHeight="1" x14ac:dyDescent="0.25">
      <c r="A447" s="38"/>
      <c r="B447" s="299">
        <v>5.7819078876463245E-2</v>
      </c>
      <c r="C447" s="300">
        <v>0.21798246586553524</v>
      </c>
      <c r="D447" s="300">
        <v>0.14013618721734139</v>
      </c>
      <c r="E447" s="300">
        <v>5.4093707343837394E-2</v>
      </c>
      <c r="F447" s="300">
        <v>0.40129580274443893</v>
      </c>
      <c r="G447" s="300">
        <v>0.1240386667046349</v>
      </c>
      <c r="H447" s="301">
        <v>4.6340912477393185E-3</v>
      </c>
      <c r="I447" s="49" t="s">
        <v>36</v>
      </c>
    </row>
    <row r="448" spans="1:9" ht="17.100000000000001" customHeight="1" x14ac:dyDescent="0.25">
      <c r="A448" s="38"/>
      <c r="B448" s="299">
        <v>6.2982122390122908E-2</v>
      </c>
      <c r="C448" s="300">
        <v>0.22295093623945231</v>
      </c>
      <c r="D448" s="300">
        <v>0.11767347460422259</v>
      </c>
      <c r="E448" s="300">
        <v>4.7888400876503694E-2</v>
      </c>
      <c r="F448" s="300">
        <v>0.40580504580056631</v>
      </c>
      <c r="G448" s="300">
        <v>0.13987030877818898</v>
      </c>
      <c r="H448" s="301">
        <v>2.8297113109336121E-3</v>
      </c>
      <c r="I448" s="49" t="s">
        <v>37</v>
      </c>
    </row>
    <row r="449" spans="1:9" ht="17.100000000000001" customHeight="1" x14ac:dyDescent="0.25">
      <c r="A449" s="38"/>
      <c r="B449" s="299">
        <v>5.955449066726206E-2</v>
      </c>
      <c r="C449" s="300">
        <v>0.23881611167072786</v>
      </c>
      <c r="D449" s="300">
        <v>0.10423916120791495</v>
      </c>
      <c r="E449" s="300">
        <v>5.0145845719769246E-2</v>
      </c>
      <c r="F449" s="300">
        <v>0.38832822827947749</v>
      </c>
      <c r="G449" s="300">
        <v>0.15197320983006604</v>
      </c>
      <c r="H449" s="301">
        <v>6.9429526247728702E-3</v>
      </c>
      <c r="I449" s="49" t="s">
        <v>38</v>
      </c>
    </row>
    <row r="450" spans="1:9" ht="17.100000000000001" customHeight="1" x14ac:dyDescent="0.25">
      <c r="A450" s="38"/>
      <c r="B450" s="299">
        <v>6.1393874979672525E-2</v>
      </c>
      <c r="C450" s="300">
        <v>0.23351550903275464</v>
      </c>
      <c r="D450" s="300">
        <v>0.11172073757529906</v>
      </c>
      <c r="E450" s="300">
        <v>4.3552064757283702E-2</v>
      </c>
      <c r="F450" s="300">
        <v>0.37124147863753926</v>
      </c>
      <c r="G450" s="300">
        <v>0.16910358598650141</v>
      </c>
      <c r="H450" s="301">
        <v>9.4727490309405391E-3</v>
      </c>
      <c r="I450" s="49" t="s">
        <v>39</v>
      </c>
    </row>
    <row r="451" spans="1:9" ht="17.100000000000001" customHeight="1" x14ac:dyDescent="0.25">
      <c r="A451" s="38"/>
      <c r="B451" s="299">
        <v>5.1514296460235733E-2</v>
      </c>
      <c r="C451" s="300">
        <v>0.2121454362543812</v>
      </c>
      <c r="D451" s="300">
        <v>0.1573057020969737</v>
      </c>
      <c r="E451" s="300">
        <v>5.7957255126280173E-2</v>
      </c>
      <c r="F451" s="300">
        <v>0.26571031722509525</v>
      </c>
      <c r="G451" s="300">
        <v>0.2453078732073464</v>
      </c>
      <c r="H451" s="301">
        <v>1.0059119629679597E-2</v>
      </c>
      <c r="I451" s="49" t="s">
        <v>40</v>
      </c>
    </row>
    <row r="452" spans="1:9" ht="17.100000000000001" customHeight="1" x14ac:dyDescent="0.25">
      <c r="A452" s="38"/>
      <c r="B452" s="299">
        <v>3.3332453794888223E-2</v>
      </c>
      <c r="C452" s="300">
        <v>0.21007513207092418</v>
      </c>
      <c r="D452" s="300">
        <v>0.1592131651180585</v>
      </c>
      <c r="E452" s="300">
        <v>6.3557440963424944E-2</v>
      </c>
      <c r="F452" s="300">
        <v>0.24700915369418872</v>
      </c>
      <c r="G452" s="300">
        <v>0.28077488373378401</v>
      </c>
      <c r="H452" s="301">
        <v>6.0377706247234462E-3</v>
      </c>
      <c r="I452" s="49" t="s">
        <v>41</v>
      </c>
    </row>
    <row r="453" spans="1:9" ht="17.100000000000001" customHeight="1" x14ac:dyDescent="0.25">
      <c r="A453" s="38" t="s">
        <v>4</v>
      </c>
      <c r="B453" s="299">
        <v>2.6113166708459132E-2</v>
      </c>
      <c r="C453" s="300">
        <v>0.17762854641121106</v>
      </c>
      <c r="D453" s="300">
        <v>0.1710435472016715</v>
      </c>
      <c r="E453" s="300">
        <v>6.1053490045327098E-2</v>
      </c>
      <c r="F453" s="300">
        <v>0.2067210272261725</v>
      </c>
      <c r="G453" s="300">
        <v>0.35192224205891726</v>
      </c>
      <c r="H453" s="301">
        <v>5.5179803482326541E-3</v>
      </c>
      <c r="I453" s="49" t="s">
        <v>4</v>
      </c>
    </row>
    <row r="454" spans="1:9" ht="17.100000000000001" customHeight="1" x14ac:dyDescent="0.25">
      <c r="A454" s="38"/>
      <c r="B454" s="299">
        <v>2.3038631242795194E-2</v>
      </c>
      <c r="C454" s="300">
        <v>0.16613297565686838</v>
      </c>
      <c r="D454" s="300">
        <v>0.10875114889623451</v>
      </c>
      <c r="E454" s="300">
        <v>6.6202605433037159E-2</v>
      </c>
      <c r="F454" s="300">
        <v>0.20349312076849921</v>
      </c>
      <c r="G454" s="300">
        <v>0.42757516328591921</v>
      </c>
      <c r="H454" s="301">
        <v>4.8063547166363454E-3</v>
      </c>
      <c r="I454" s="49" t="s">
        <v>43</v>
      </c>
    </row>
    <row r="455" spans="1:9" ht="17.100000000000001" customHeight="1" x14ac:dyDescent="0.25">
      <c r="A455" s="38"/>
      <c r="B455" s="299">
        <v>2.172058324821613E-2</v>
      </c>
      <c r="C455" s="300">
        <v>0.12252988518378638</v>
      </c>
      <c r="D455" s="300">
        <v>5.3581254039839224E-2</v>
      </c>
      <c r="E455" s="300">
        <v>0.12178260746235312</v>
      </c>
      <c r="F455" s="300">
        <v>0.19920269167037297</v>
      </c>
      <c r="G455" s="300">
        <v>0.4754232173678451</v>
      </c>
      <c r="H455" s="301">
        <v>5.75976102757687E-3</v>
      </c>
      <c r="I455" s="49" t="s">
        <v>42</v>
      </c>
    </row>
    <row r="456" spans="1:9" ht="17.100000000000001" customHeight="1" x14ac:dyDescent="0.25">
      <c r="A456" s="38"/>
      <c r="B456" s="299">
        <v>2.383696063462894E-2</v>
      </c>
      <c r="C456" s="300">
        <v>8.2606588082809379E-2</v>
      </c>
      <c r="D456" s="300">
        <v>2.969666661045155E-2</v>
      </c>
      <c r="E456" s="300">
        <v>0.1529233203422489</v>
      </c>
      <c r="F456" s="300">
        <v>0.18050236599383906</v>
      </c>
      <c r="G456" s="300">
        <v>0.52754681154813599</v>
      </c>
      <c r="H456" s="301">
        <v>2.8872867878764453E-3</v>
      </c>
      <c r="I456" s="49" t="s">
        <v>44</v>
      </c>
    </row>
    <row r="457" spans="1:9" ht="17.100000000000001" customHeight="1" x14ac:dyDescent="0.25">
      <c r="A457" s="38"/>
      <c r="B457" s="299">
        <v>1.8922992039275409E-2</v>
      </c>
      <c r="C457" s="300">
        <v>6.8936951004600788E-2</v>
      </c>
      <c r="D457" s="300">
        <v>1.5563507171731243E-2</v>
      </c>
      <c r="E457" s="300">
        <v>0.42281740235075721</v>
      </c>
      <c r="F457" s="300">
        <v>0.13855280588410465</v>
      </c>
      <c r="G457" s="300">
        <v>0.33161503342583992</v>
      </c>
      <c r="H457" s="301">
        <v>3.5913081236804163E-3</v>
      </c>
      <c r="I457" s="49" t="s">
        <v>45</v>
      </c>
    </row>
    <row r="458" spans="1:9" ht="17.100000000000001" customHeight="1" x14ac:dyDescent="0.25">
      <c r="A458" s="38"/>
      <c r="B458" s="299">
        <v>1.4425651222839016E-2</v>
      </c>
      <c r="C458" s="300">
        <v>3.8785581931183991E-2</v>
      </c>
      <c r="D458" s="300">
        <v>1.2472557776246533E-2</v>
      </c>
      <c r="E458" s="300">
        <v>0.50935948635074635</v>
      </c>
      <c r="F458" s="300">
        <v>0.12683588176086397</v>
      </c>
      <c r="G458" s="300">
        <v>0.29632490878449108</v>
      </c>
      <c r="H458" s="301">
        <v>1.7959321736179198E-3</v>
      </c>
      <c r="I458" s="49" t="s">
        <v>46</v>
      </c>
    </row>
    <row r="459" spans="1:9" ht="17.100000000000001" customHeight="1" x14ac:dyDescent="0.25">
      <c r="A459" s="38"/>
      <c r="B459" s="299">
        <v>1.3334861625720795E-2</v>
      </c>
      <c r="C459" s="300">
        <v>1.8748933508142284E-2</v>
      </c>
      <c r="D459" s="300">
        <v>5.4861725012826466E-3</v>
      </c>
      <c r="E459" s="300">
        <v>0.70940288170380439</v>
      </c>
      <c r="F459" s="300">
        <v>8.8693808026472323E-2</v>
      </c>
      <c r="G459" s="300">
        <v>0.16310100489804341</v>
      </c>
      <c r="H459" s="301">
        <v>1.2323377365263263E-3</v>
      </c>
      <c r="I459" s="49" t="s">
        <v>47</v>
      </c>
    </row>
    <row r="460" spans="1:9" ht="17.100000000000001" customHeight="1" x14ac:dyDescent="0.25">
      <c r="A460" s="38"/>
      <c r="B460" s="299">
        <v>8.9260472891648634E-3</v>
      </c>
      <c r="C460" s="300">
        <v>1.2313969283970282E-2</v>
      </c>
      <c r="D460" s="300">
        <v>3.1634363518274391E-3</v>
      </c>
      <c r="E460" s="300">
        <v>0.79662800036722914</v>
      </c>
      <c r="F460" s="300">
        <v>7.4363604346278658E-2</v>
      </c>
      <c r="G460" s="300">
        <v>0.10460494236152516</v>
      </c>
      <c r="H460" s="301">
        <v>0</v>
      </c>
      <c r="I460" s="49" t="s">
        <v>48</v>
      </c>
    </row>
    <row r="461" spans="1:9" ht="17.100000000000001" customHeight="1" x14ac:dyDescent="0.25">
      <c r="A461" s="38" t="s">
        <v>5</v>
      </c>
      <c r="B461" s="299">
        <v>5.6363737051607328E-3</v>
      </c>
      <c r="C461" s="300">
        <v>4.6319328983613992E-3</v>
      </c>
      <c r="D461" s="300">
        <v>1.9904239183756124E-3</v>
      </c>
      <c r="E461" s="300">
        <v>0.90120351804869092</v>
      </c>
      <c r="F461" s="300">
        <v>4.3020021564356206E-2</v>
      </c>
      <c r="G461" s="300">
        <v>4.2507200536600641E-2</v>
      </c>
      <c r="H461" s="301">
        <v>1.0105293284532087E-3</v>
      </c>
      <c r="I461" s="49" t="s">
        <v>5</v>
      </c>
    </row>
    <row r="462" spans="1:9" ht="17.100000000000001" customHeight="1" x14ac:dyDescent="0.25">
      <c r="A462" s="38"/>
      <c r="B462" s="299">
        <v>3.5410691670936588E-3</v>
      </c>
      <c r="C462" s="300">
        <v>4.4380992587406843E-3</v>
      </c>
      <c r="D462" s="300">
        <v>5.1573811222593424E-4</v>
      </c>
      <c r="E462" s="300">
        <v>0.94212919624247404</v>
      </c>
      <c r="F462" s="300">
        <v>2.3166636923776972E-2</v>
      </c>
      <c r="G462" s="300">
        <v>2.4188201638781742E-2</v>
      </c>
      <c r="H462" s="301">
        <v>2.0210586569064173E-3</v>
      </c>
      <c r="I462" s="49" t="s">
        <v>49</v>
      </c>
    </row>
    <row r="463" spans="1:9" ht="17.100000000000001" customHeight="1" x14ac:dyDescent="0.25">
      <c r="A463" s="38"/>
      <c r="B463" s="299">
        <v>2.3350974723984875E-3</v>
      </c>
      <c r="C463" s="300">
        <v>2.679647687865563E-3</v>
      </c>
      <c r="D463" s="300">
        <v>9.7361323835719966E-4</v>
      </c>
      <c r="E463" s="300">
        <v>0.97684535039760179</v>
      </c>
      <c r="F463" s="300">
        <v>9.7784628758480225E-3</v>
      </c>
      <c r="G463" s="300">
        <v>7.3878283279289868E-3</v>
      </c>
      <c r="H463" s="301">
        <v>0</v>
      </c>
      <c r="I463" s="49" t="s">
        <v>50</v>
      </c>
    </row>
    <row r="464" spans="1:9" ht="17.100000000000001" customHeight="1" x14ac:dyDescent="0.25">
      <c r="A464" s="38"/>
      <c r="B464" s="299">
        <v>2.3350974723984875E-3</v>
      </c>
      <c r="C464" s="300">
        <v>4.5688127430087103E-3</v>
      </c>
      <c r="D464" s="300">
        <v>5.4040052584049486E-4</v>
      </c>
      <c r="E464" s="300">
        <v>0.98381793088461944</v>
      </c>
      <c r="F464" s="300">
        <v>4.8813934583269445E-3</v>
      </c>
      <c r="G464" s="300">
        <v>3.8563649158058679E-3</v>
      </c>
      <c r="H464" s="301">
        <v>0</v>
      </c>
      <c r="I464" s="49" t="s">
        <v>51</v>
      </c>
    </row>
    <row r="465" spans="1:9" ht="17.100000000000001" customHeight="1" x14ac:dyDescent="0.25">
      <c r="A465" s="38"/>
      <c r="B465" s="299">
        <v>1.0105293284532087E-3</v>
      </c>
      <c r="C465" s="300">
        <v>1.9694062471049874E-3</v>
      </c>
      <c r="D465" s="300">
        <v>5.4040052584049486E-4</v>
      </c>
      <c r="E465" s="300">
        <v>0.98957042794781847</v>
      </c>
      <c r="F465" s="300">
        <v>4.789710515833356E-3</v>
      </c>
      <c r="G465" s="300">
        <v>2.1195254349495778E-3</v>
      </c>
      <c r="H465" s="301">
        <v>0</v>
      </c>
      <c r="I465" s="49" t="s">
        <v>52</v>
      </c>
    </row>
    <row r="466" spans="1:9" ht="17.100000000000001" customHeight="1" x14ac:dyDescent="0.25">
      <c r="A466" s="38"/>
      <c r="B466" s="299">
        <v>1.0105293284532087E-3</v>
      </c>
      <c r="C466" s="300">
        <v>1.3063049333067269E-3</v>
      </c>
      <c r="D466" s="300">
        <v>5.4040052584049486E-4</v>
      </c>
      <c r="E466" s="300">
        <v>0.99237887742601572</v>
      </c>
      <c r="F466" s="300">
        <v>2.6443623514342345E-3</v>
      </c>
      <c r="G466" s="300">
        <v>2.1195254349495778E-3</v>
      </c>
      <c r="H466" s="301">
        <v>0</v>
      </c>
      <c r="I466" s="49" t="s">
        <v>53</v>
      </c>
    </row>
    <row r="467" spans="1:9" ht="17.100000000000001" customHeight="1" x14ac:dyDescent="0.25">
      <c r="A467" s="38"/>
      <c r="B467" s="299">
        <v>1.0105293284532087E-3</v>
      </c>
      <c r="C467" s="300">
        <v>2.6223876042951694E-3</v>
      </c>
      <c r="D467" s="300">
        <v>5.7652944184961624E-4</v>
      </c>
      <c r="E467" s="300">
        <v>0.99396608543369736</v>
      </c>
      <c r="F467" s="300">
        <v>1.015378013556021E-3</v>
      </c>
      <c r="G467" s="300">
        <v>8.0909017814849123E-4</v>
      </c>
      <c r="H467" s="301">
        <v>0</v>
      </c>
      <c r="I467" s="49" t="s">
        <v>54</v>
      </c>
    </row>
    <row r="468" spans="1:9" ht="17.100000000000001" customHeight="1" x14ac:dyDescent="0.25">
      <c r="A468" s="39" t="s">
        <v>6</v>
      </c>
      <c r="B468" s="302">
        <v>1.0105293284532087E-3</v>
      </c>
      <c r="C468" s="303">
        <v>1.9931174353950819E-3</v>
      </c>
      <c r="D468" s="303">
        <v>5.7652944184961624E-4</v>
      </c>
      <c r="E468" s="303">
        <v>0.99425598990737607</v>
      </c>
      <c r="F468" s="303">
        <v>1.3547437087772566E-3</v>
      </c>
      <c r="G468" s="303">
        <v>8.0909017814849123E-4</v>
      </c>
      <c r="H468" s="304">
        <v>0</v>
      </c>
      <c r="I468" s="50" t="s">
        <v>6</v>
      </c>
    </row>
  </sheetData>
  <mergeCells count="35">
    <mergeCell ref="I367:I368"/>
    <mergeCell ref="K211:V211"/>
    <mergeCell ref="K263:V263"/>
    <mergeCell ref="K367:V367"/>
    <mergeCell ref="A367:A368"/>
    <mergeCell ref="A418:H418"/>
    <mergeCell ref="A107:A108"/>
    <mergeCell ref="A158:H158"/>
    <mergeCell ref="A159:A160"/>
    <mergeCell ref="A210:H210"/>
    <mergeCell ref="A211:A212"/>
    <mergeCell ref="A314:H314"/>
    <mergeCell ref="A315:A316"/>
    <mergeCell ref="A366:H366"/>
    <mergeCell ref="K2:V2"/>
    <mergeCell ref="K54:V54"/>
    <mergeCell ref="K106:V106"/>
    <mergeCell ref="I263:I264"/>
    <mergeCell ref="I315:I316"/>
    <mergeCell ref="I419:I420"/>
    <mergeCell ref="K419:V419"/>
    <mergeCell ref="A1:H1"/>
    <mergeCell ref="A3:A4"/>
    <mergeCell ref="A54:H54"/>
    <mergeCell ref="A55:A56"/>
    <mergeCell ref="A106:H106"/>
    <mergeCell ref="A2:H2"/>
    <mergeCell ref="I3:I4"/>
    <mergeCell ref="I55:I56"/>
    <mergeCell ref="I107:I108"/>
    <mergeCell ref="I159:I160"/>
    <mergeCell ref="I211:I212"/>
    <mergeCell ref="A419:A420"/>
    <mergeCell ref="A262:H262"/>
    <mergeCell ref="A263:A264"/>
  </mergeCell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R20"/>
  <sheetViews>
    <sheetView topLeftCell="A10" zoomScaleNormal="100" workbookViewId="0">
      <selection activeCell="J10" sqref="J10"/>
    </sheetView>
  </sheetViews>
  <sheetFormatPr defaultRowHeight="15" x14ac:dyDescent="0.25"/>
  <cols>
    <col min="1" max="1" width="18.85546875" customWidth="1"/>
    <col min="2" max="7" width="12.28515625" customWidth="1"/>
    <col min="18" max="18" width="11.85546875" customWidth="1"/>
  </cols>
  <sheetData>
    <row r="1" spans="1:18" ht="54.95" hidden="1" customHeight="1" x14ac:dyDescent="0.25">
      <c r="A1" s="1384" t="s">
        <v>313</v>
      </c>
      <c r="B1" s="1384"/>
      <c r="C1" s="1384"/>
      <c r="D1" s="1384"/>
      <c r="E1" s="1384"/>
      <c r="F1" s="1384"/>
      <c r="G1" s="1384"/>
    </row>
    <row r="2" spans="1:18" ht="15.95" hidden="1" customHeight="1" x14ac:dyDescent="0.25">
      <c r="A2" s="1385"/>
      <c r="B2" s="979"/>
      <c r="C2" s="973" t="s">
        <v>60</v>
      </c>
      <c r="D2" s="973"/>
      <c r="E2" s="974" t="s">
        <v>59</v>
      </c>
      <c r="F2" s="974"/>
      <c r="G2" s="974" t="s">
        <v>122</v>
      </c>
      <c r="H2" s="1379" t="s">
        <v>60</v>
      </c>
      <c r="I2" s="1380"/>
      <c r="J2" s="1381" t="s">
        <v>59</v>
      </c>
      <c r="K2" s="1382"/>
    </row>
    <row r="3" spans="1:18" ht="15.95" hidden="1" customHeight="1" x14ac:dyDescent="0.25">
      <c r="A3" s="1386"/>
      <c r="B3" s="157" t="s">
        <v>12</v>
      </c>
      <c r="C3" s="156" t="s">
        <v>11</v>
      </c>
      <c r="D3" s="157" t="s">
        <v>12</v>
      </c>
      <c r="E3" s="158" t="s">
        <v>11</v>
      </c>
      <c r="F3" s="159" t="s">
        <v>12</v>
      </c>
      <c r="G3" s="158" t="s">
        <v>11</v>
      </c>
      <c r="H3" s="169" t="s">
        <v>11</v>
      </c>
      <c r="I3" s="170" t="s">
        <v>12</v>
      </c>
      <c r="J3" s="171" t="s">
        <v>11</v>
      </c>
      <c r="K3" s="170" t="s">
        <v>12</v>
      </c>
    </row>
    <row r="4" spans="1:18" hidden="1" x14ac:dyDescent="0.25">
      <c r="A4" s="160" t="s">
        <v>113</v>
      </c>
      <c r="B4" s="162">
        <v>355.10528237240391</v>
      </c>
      <c r="C4" s="161">
        <v>241.18515156354948</v>
      </c>
      <c r="D4" s="162">
        <v>148.49752491542213</v>
      </c>
      <c r="E4" s="163">
        <v>77.022580980880548</v>
      </c>
      <c r="F4" s="164">
        <v>296.07449452755139</v>
      </c>
      <c r="G4" s="163">
        <v>194.28155996850097</v>
      </c>
      <c r="H4" s="152" t="e">
        <f>Б4/Б6*100</f>
        <v>#NAME?</v>
      </c>
      <c r="I4" s="152" t="e">
        <f>Ц4/Ц6*100</f>
        <v>#NAME?</v>
      </c>
      <c r="J4" s="152" t="e">
        <f>Д4/Д6*100</f>
        <v>#NAME?</v>
      </c>
      <c r="K4" s="152" t="e">
        <f>Е4/Е6*100</f>
        <v>#NAME?</v>
      </c>
    </row>
    <row r="5" spans="1:18" hidden="1" x14ac:dyDescent="0.25">
      <c r="A5" s="160" t="s">
        <v>114</v>
      </c>
      <c r="B5" s="166">
        <v>91.240218248979204</v>
      </c>
      <c r="C5" s="165">
        <v>229.53363771833307</v>
      </c>
      <c r="D5" s="166">
        <v>129.59337650682224</v>
      </c>
      <c r="E5" s="167">
        <v>267.54065645847203</v>
      </c>
      <c r="F5" s="168">
        <v>102.19826346550587</v>
      </c>
      <c r="G5" s="167">
        <v>240.39278592980074</v>
      </c>
      <c r="H5" s="152" t="e">
        <f>Б5/Б6*100</f>
        <v>#NAME?</v>
      </c>
      <c r="I5" s="152" t="e">
        <f>Ц5/Ц6*100</f>
        <v>#NAME?</v>
      </c>
      <c r="J5" s="152" t="e">
        <f>Д5/Д6*100</f>
        <v>#NAME?</v>
      </c>
      <c r="K5" s="152" t="e">
        <f>Е5/Е6*100</f>
        <v>#NAME?</v>
      </c>
    </row>
    <row r="6" spans="1:18" hidden="1" x14ac:dyDescent="0.25">
      <c r="A6" s="160" t="s">
        <v>217</v>
      </c>
      <c r="B6" s="165" t="e">
        <f>Ц4+Ц5</f>
        <v>#NAME?</v>
      </c>
      <c r="C6" s="165" t="e">
        <f>Б4+Б5</f>
        <v>#NAME?</v>
      </c>
      <c r="D6" s="165" t="e">
        <f>Е4+Е5</f>
        <v>#NAME?</v>
      </c>
      <c r="E6" s="165" t="e">
        <f>Д4+Д5</f>
        <v>#NAME?</v>
      </c>
      <c r="F6" s="165" t="e">
        <f>Г4+Г5</f>
        <v>#NAME?</v>
      </c>
      <c r="G6" s="165" t="e">
        <f>Ф4+Ф5</f>
        <v>#NAME?</v>
      </c>
    </row>
    <row r="7" spans="1:18" ht="24.95" hidden="1" customHeight="1" x14ac:dyDescent="0.25">
      <c r="A7" s="1383" t="s">
        <v>314</v>
      </c>
      <c r="B7" s="1383"/>
      <c r="C7" s="1383"/>
      <c r="D7" s="1383"/>
      <c r="E7" s="1383"/>
      <c r="F7" s="1383"/>
      <c r="G7" s="1383"/>
    </row>
    <row r="8" spans="1:18" hidden="1" x14ac:dyDescent="0.25">
      <c r="C8" t="e">
        <f>Б4/Б6</f>
        <v>#NAME?</v>
      </c>
    </row>
    <row r="9" spans="1:18" hidden="1" x14ac:dyDescent="0.25">
      <c r="C9" t="e">
        <f>Б5/Б6</f>
        <v>#NAME?</v>
      </c>
    </row>
    <row r="10" spans="1:18" ht="27" customHeight="1" x14ac:dyDescent="0.25"/>
    <row r="11" spans="1:18" ht="30.75" customHeight="1" thickBot="1" x14ac:dyDescent="0.3">
      <c r="A11" s="1375" t="s">
        <v>488</v>
      </c>
      <c r="B11" s="1376"/>
      <c r="C11" s="1377"/>
      <c r="D11" s="1378"/>
      <c r="E11" s="1377"/>
      <c r="F11" s="1378"/>
      <c r="G11" s="1377"/>
      <c r="J11" s="1229" t="s">
        <v>611</v>
      </c>
      <c r="K11" s="1229"/>
      <c r="L11" s="1229"/>
      <c r="M11" s="1229"/>
      <c r="N11" s="1229"/>
      <c r="O11" s="1229"/>
      <c r="P11" s="1229"/>
      <c r="Q11" s="1229"/>
      <c r="R11" s="1229"/>
    </row>
    <row r="12" spans="1:18" x14ac:dyDescent="0.25">
      <c r="A12" s="1373"/>
      <c r="B12" s="1369" t="s">
        <v>60</v>
      </c>
      <c r="C12" s="1370"/>
      <c r="D12" s="1371" t="s">
        <v>59</v>
      </c>
      <c r="E12" s="1372"/>
      <c r="F12" s="1371" t="s">
        <v>122</v>
      </c>
      <c r="G12" s="1372"/>
    </row>
    <row r="13" spans="1:18" ht="15.75" thickBot="1" x14ac:dyDescent="0.3">
      <c r="A13" s="1374"/>
      <c r="B13" s="1134" t="s">
        <v>12</v>
      </c>
      <c r="C13" s="1135" t="s">
        <v>11</v>
      </c>
      <c r="D13" s="1134" t="s">
        <v>12</v>
      </c>
      <c r="E13" s="1136" t="s">
        <v>11</v>
      </c>
      <c r="F13" s="1137" t="s">
        <v>12</v>
      </c>
      <c r="G13" s="1136" t="s">
        <v>11</v>
      </c>
    </row>
    <row r="14" spans="1:18" ht="17.100000000000001" customHeight="1" x14ac:dyDescent="0.25">
      <c r="A14" s="1077" t="s">
        <v>113</v>
      </c>
      <c r="B14" s="1138">
        <v>5.9184213728733983</v>
      </c>
      <c r="C14" s="1139">
        <v>4.0197525260591584</v>
      </c>
      <c r="D14" s="1138">
        <v>2.4749587485903688</v>
      </c>
      <c r="E14" s="1139">
        <v>1.2837096830146757</v>
      </c>
      <c r="F14" s="1138">
        <v>4.9345749087925235</v>
      </c>
      <c r="G14" s="1139">
        <v>3.238025999475016</v>
      </c>
    </row>
    <row r="15" spans="1:18" ht="17.100000000000001" customHeight="1" x14ac:dyDescent="0.25">
      <c r="A15" s="1140" t="s">
        <v>114</v>
      </c>
      <c r="B15" s="1141">
        <v>1.5206703041496534</v>
      </c>
      <c r="C15" s="1142">
        <v>3.8255606286388844</v>
      </c>
      <c r="D15" s="1141">
        <v>2.1598896084470374</v>
      </c>
      <c r="E15" s="1142">
        <v>4.459010940974534</v>
      </c>
      <c r="F15" s="1141">
        <v>1.7033043910917647</v>
      </c>
      <c r="G15" s="1142">
        <v>4.0065464321633453</v>
      </c>
    </row>
    <row r="16" spans="1:18" ht="17.100000000000001" customHeight="1" thickBot="1" x14ac:dyDescent="0.3">
      <c r="A16" s="1078" t="s">
        <v>217</v>
      </c>
      <c r="B16" s="1143">
        <v>7.4390916770230522</v>
      </c>
      <c r="C16" s="1144">
        <v>7.8453131546980428</v>
      </c>
      <c r="D16" s="1143">
        <v>4.6348483570374066</v>
      </c>
      <c r="E16" s="1144">
        <v>5.7427206239892099</v>
      </c>
      <c r="F16" s="1143">
        <v>6.6378792998842879</v>
      </c>
      <c r="G16" s="1144">
        <v>7.2445724316383613</v>
      </c>
    </row>
    <row r="20" ht="15" customHeight="1" x14ac:dyDescent="0.25"/>
  </sheetData>
  <mergeCells count="11">
    <mergeCell ref="H2:I2"/>
    <mergeCell ref="J2:K2"/>
    <mergeCell ref="A7:G7"/>
    <mergeCell ref="A1:G1"/>
    <mergeCell ref="A2:A3"/>
    <mergeCell ref="B12:C12"/>
    <mergeCell ref="F12:G12"/>
    <mergeCell ref="A12:A13"/>
    <mergeCell ref="D12:E12"/>
    <mergeCell ref="J11:R11"/>
    <mergeCell ref="A11:G11"/>
  </mergeCell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35"/>
  <sheetViews>
    <sheetView topLeftCell="A8" workbookViewId="0">
      <selection activeCell="K8" sqref="K8"/>
    </sheetView>
  </sheetViews>
  <sheetFormatPr defaultRowHeight="15" x14ac:dyDescent="0.25"/>
  <cols>
    <col min="1" max="1" width="19" customWidth="1"/>
    <col min="2" max="2" width="11.42578125" customWidth="1"/>
    <col min="3" max="3" width="11.5703125" customWidth="1"/>
    <col min="4" max="4" width="11" customWidth="1"/>
    <col min="5" max="5" width="9.5703125" customWidth="1"/>
    <col min="6" max="6" width="10.7109375" customWidth="1"/>
    <col min="7" max="7" width="11.42578125" customWidth="1"/>
    <col min="8" max="8" width="10.85546875" customWidth="1"/>
    <col min="9" max="9" width="10.7109375" customWidth="1"/>
  </cols>
  <sheetData>
    <row r="1" spans="1:20" ht="36" hidden="1" customHeight="1" x14ac:dyDescent="0.25">
      <c r="A1" s="1398" t="s">
        <v>352</v>
      </c>
      <c r="B1" s="1399"/>
      <c r="C1" s="1400"/>
      <c r="D1" s="1401"/>
      <c r="E1" s="1400"/>
      <c r="F1" s="1401"/>
      <c r="G1" s="1400"/>
      <c r="H1" s="1401"/>
      <c r="I1" s="1400"/>
    </row>
    <row r="2" spans="1:20" ht="15.95" hidden="1" customHeight="1" x14ac:dyDescent="0.25">
      <c r="A2" s="1402"/>
      <c r="B2" s="975"/>
      <c r="C2" s="976" t="s">
        <v>7</v>
      </c>
      <c r="D2" s="976"/>
      <c r="E2" s="977" t="s">
        <v>8</v>
      </c>
      <c r="F2" s="977"/>
      <c r="G2" s="977" t="s">
        <v>9</v>
      </c>
      <c r="H2" s="977"/>
      <c r="I2" s="977" t="s">
        <v>10</v>
      </c>
    </row>
    <row r="3" spans="1:20" ht="15.95" hidden="1" customHeight="1" x14ac:dyDescent="0.25">
      <c r="A3" s="1403"/>
      <c r="B3" s="173" t="s">
        <v>12</v>
      </c>
      <c r="C3" s="172" t="s">
        <v>11</v>
      </c>
      <c r="D3" s="173" t="s">
        <v>12</v>
      </c>
      <c r="E3" s="174" t="s">
        <v>11</v>
      </c>
      <c r="F3" s="173" t="s">
        <v>12</v>
      </c>
      <c r="G3" s="174" t="s">
        <v>11</v>
      </c>
      <c r="H3" s="175" t="s">
        <v>12</v>
      </c>
      <c r="I3" s="174" t="s">
        <v>11</v>
      </c>
    </row>
    <row r="4" spans="1:20" hidden="1" x14ac:dyDescent="0.25">
      <c r="A4" s="160" t="s">
        <v>113</v>
      </c>
      <c r="B4" s="177">
        <v>101.82304939223047</v>
      </c>
      <c r="C4" s="176">
        <v>93.55491014012263</v>
      </c>
      <c r="D4" s="177">
        <v>316.5761438145791</v>
      </c>
      <c r="E4" s="178">
        <v>326.46908507389981</v>
      </c>
      <c r="F4" s="177">
        <v>519.93238494806644</v>
      </c>
      <c r="G4" s="178">
        <v>509.27695641473395</v>
      </c>
      <c r="H4" s="179">
        <v>746.20131106583358</v>
      </c>
      <c r="I4" s="178">
        <v>736.66982482459969</v>
      </c>
    </row>
    <row r="5" spans="1:20" hidden="1" x14ac:dyDescent="0.25">
      <c r="A5" s="160" t="s">
        <v>114</v>
      </c>
      <c r="B5" s="181">
        <v>193.81330225826113</v>
      </c>
      <c r="C5" s="180">
        <v>329.5115693935204</v>
      </c>
      <c r="D5" s="181">
        <v>99.047785389134205</v>
      </c>
      <c r="E5" s="182">
        <v>200.52853613959778</v>
      </c>
      <c r="F5" s="181">
        <v>66.646534056866429</v>
      </c>
      <c r="G5" s="182">
        <v>131.46329727385321</v>
      </c>
      <c r="H5" s="183">
        <v>24.163703347148381</v>
      </c>
      <c r="I5" s="182">
        <v>63.378442144262024</v>
      </c>
    </row>
    <row r="6" spans="1:20" ht="24.95" hidden="1" customHeight="1" x14ac:dyDescent="0.25">
      <c r="A6" s="150"/>
      <c r="B6" s="184" t="e">
        <f>Ц4+Ц5</f>
        <v>#NAME?</v>
      </c>
      <c r="C6" s="184" t="e">
        <f>Б4+Б5</f>
        <v>#NAME?</v>
      </c>
      <c r="D6" s="184" t="e">
        <f>Е4+Е5</f>
        <v>#NAME?</v>
      </c>
      <c r="E6" s="184" t="e">
        <f>Д4+Д5</f>
        <v>#NAME?</v>
      </c>
      <c r="F6" s="184" t="e">
        <f>Г4+Г5</f>
        <v>#NAME?</v>
      </c>
      <c r="G6" s="184" t="e">
        <f>Ф4+Ф5</f>
        <v>#NAME?</v>
      </c>
      <c r="H6" s="184" t="e">
        <f>И4+И5</f>
        <v>#NAME?</v>
      </c>
      <c r="I6" s="184" t="e">
        <f>Х4+Х5</f>
        <v>#NAME?</v>
      </c>
    </row>
    <row r="7" spans="1:20" hidden="1" x14ac:dyDescent="0.25">
      <c r="A7" s="1394" t="s">
        <v>315</v>
      </c>
      <c r="B7" s="1395"/>
      <c r="C7" s="1396"/>
      <c r="D7" s="1397"/>
      <c r="E7" s="1396"/>
      <c r="F7" s="1397"/>
      <c r="G7" s="1396"/>
      <c r="H7" s="1397"/>
      <c r="I7" s="1396"/>
    </row>
    <row r="8" spans="1:20" ht="21.75" customHeight="1" x14ac:dyDescent="0.25">
      <c r="A8" s="412"/>
      <c r="B8" s="413"/>
      <c r="C8" s="413"/>
      <c r="D8" s="413"/>
      <c r="E8" s="413"/>
      <c r="F8" s="413"/>
      <c r="G8" s="413"/>
      <c r="H8" s="414"/>
      <c r="I8" s="413"/>
    </row>
    <row r="9" spans="1:20" ht="39.75" customHeight="1" thickBot="1" x14ac:dyDescent="0.3">
      <c r="A9" s="1229" t="s">
        <v>487</v>
      </c>
      <c r="B9" s="1229"/>
      <c r="C9" s="1393"/>
      <c r="D9" s="1393"/>
      <c r="E9" s="1393"/>
      <c r="F9" s="1393"/>
      <c r="G9" s="1393"/>
      <c r="H9" s="1393"/>
      <c r="I9" s="1393"/>
      <c r="K9" s="1229" t="s">
        <v>614</v>
      </c>
      <c r="L9" s="1229"/>
      <c r="M9" s="1229"/>
      <c r="N9" s="1229"/>
      <c r="O9" s="1229"/>
      <c r="P9" s="1229"/>
      <c r="Q9" s="1229"/>
      <c r="R9" s="1229"/>
      <c r="S9" s="1229"/>
      <c r="T9" s="1229"/>
    </row>
    <row r="10" spans="1:20" x14ac:dyDescent="0.25">
      <c r="A10" s="1391"/>
      <c r="B10" s="1387" t="s">
        <v>613</v>
      </c>
      <c r="C10" s="1388"/>
      <c r="D10" s="1389" t="s">
        <v>8</v>
      </c>
      <c r="E10" s="1390"/>
      <c r="F10" s="1389" t="s">
        <v>9</v>
      </c>
      <c r="G10" s="1390"/>
      <c r="H10" s="1389" t="s">
        <v>10</v>
      </c>
      <c r="I10" s="1390"/>
    </row>
    <row r="11" spans="1:20" ht="15.75" thickBot="1" x14ac:dyDescent="0.3">
      <c r="A11" s="1392"/>
      <c r="B11" s="982" t="s">
        <v>12</v>
      </c>
      <c r="C11" s="983" t="s">
        <v>11</v>
      </c>
      <c r="D11" s="982" t="s">
        <v>12</v>
      </c>
      <c r="E11" s="981" t="s">
        <v>11</v>
      </c>
      <c r="F11" s="982" t="s">
        <v>12</v>
      </c>
      <c r="G11" s="981" t="s">
        <v>11</v>
      </c>
      <c r="H11" s="980" t="s">
        <v>12</v>
      </c>
      <c r="I11" s="981" t="s">
        <v>11</v>
      </c>
    </row>
    <row r="12" spans="1:20" ht="17.100000000000001" customHeight="1" x14ac:dyDescent="0.25">
      <c r="A12" s="1077" t="s">
        <v>113</v>
      </c>
      <c r="B12" s="597">
        <v>1.6970508232038413</v>
      </c>
      <c r="C12" s="598">
        <v>1.5592485023353773</v>
      </c>
      <c r="D12" s="597">
        <v>5.2762690635763185</v>
      </c>
      <c r="E12" s="598">
        <v>5.4411514178983298</v>
      </c>
      <c r="F12" s="597">
        <v>8.6655397491344406</v>
      </c>
      <c r="G12" s="598">
        <v>8.4879492735788986</v>
      </c>
      <c r="H12" s="597">
        <v>12.436688517763892</v>
      </c>
      <c r="I12" s="598">
        <v>12.277830413743327</v>
      </c>
    </row>
    <row r="13" spans="1:20" ht="17.100000000000001" customHeight="1" thickBot="1" x14ac:dyDescent="0.3">
      <c r="A13" s="1078" t="s">
        <v>114</v>
      </c>
      <c r="B13" s="599">
        <v>3.2302217043043524</v>
      </c>
      <c r="C13" s="600">
        <v>5.4918594898920068</v>
      </c>
      <c r="D13" s="599">
        <v>1.6507964231522367</v>
      </c>
      <c r="E13" s="600">
        <v>3.3421422689932965</v>
      </c>
      <c r="F13" s="599">
        <v>1.1107755676144404</v>
      </c>
      <c r="G13" s="600">
        <v>2.1910549545642204</v>
      </c>
      <c r="H13" s="599">
        <v>0.40272838911913966</v>
      </c>
      <c r="I13" s="600">
        <v>1.0563073690710338</v>
      </c>
    </row>
    <row r="14" spans="1:20" x14ac:dyDescent="0.25">
      <c r="A14" s="151"/>
      <c r="B14" s="292"/>
      <c r="C14" s="292"/>
      <c r="D14" s="292"/>
      <c r="E14" s="292"/>
      <c r="F14" s="292"/>
      <c r="G14" s="292"/>
      <c r="H14" s="292"/>
      <c r="I14" s="292"/>
    </row>
    <row r="29" spans="20:30" x14ac:dyDescent="0.25"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</row>
    <row r="30" spans="20:30" x14ac:dyDescent="0.25"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</row>
    <row r="31" spans="20:30" x14ac:dyDescent="0.25">
      <c r="T31" s="990"/>
      <c r="U31" s="991"/>
      <c r="V31" s="992"/>
      <c r="W31" s="992"/>
      <c r="X31" s="992"/>
      <c r="Y31" s="992"/>
      <c r="Z31" s="992"/>
      <c r="AA31" s="992"/>
      <c r="AB31" s="993"/>
      <c r="AC31" s="151"/>
      <c r="AD31" s="151"/>
    </row>
    <row r="32" spans="20:30" x14ac:dyDescent="0.25">
      <c r="T32" s="994"/>
      <c r="U32" s="984"/>
      <c r="V32" s="985"/>
      <c r="W32" s="986"/>
      <c r="X32" s="985"/>
      <c r="Y32" s="986"/>
      <c r="Z32" s="985"/>
      <c r="AA32" s="986"/>
      <c r="AB32" s="987"/>
      <c r="AC32" s="151"/>
      <c r="AD32" s="151"/>
    </row>
    <row r="33" spans="20:30" x14ac:dyDescent="0.25">
      <c r="T33" s="988"/>
      <c r="U33" s="989"/>
      <c r="V33" s="989"/>
      <c r="W33" s="989"/>
      <c r="X33" s="989"/>
      <c r="Y33" s="989"/>
      <c r="Z33" s="989"/>
      <c r="AA33" s="989"/>
      <c r="AB33" s="989"/>
      <c r="AC33" s="151"/>
      <c r="AD33" s="151"/>
    </row>
    <row r="34" spans="20:30" x14ac:dyDescent="0.25">
      <c r="T34" s="988"/>
      <c r="U34" s="989"/>
      <c r="V34" s="989"/>
      <c r="W34" s="989"/>
      <c r="X34" s="989"/>
      <c r="Y34" s="989"/>
      <c r="Z34" s="989"/>
      <c r="AA34" s="989"/>
      <c r="AB34" s="989"/>
      <c r="AC34" s="151"/>
      <c r="AD34" s="151"/>
    </row>
    <row r="35" spans="20:30" x14ac:dyDescent="0.25"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</row>
  </sheetData>
  <mergeCells count="10">
    <mergeCell ref="K9:T9"/>
    <mergeCell ref="A9:I9"/>
    <mergeCell ref="A7:I7"/>
    <mergeCell ref="A1:I1"/>
    <mergeCell ref="A2:A3"/>
    <mergeCell ref="B10:C10"/>
    <mergeCell ref="D10:E10"/>
    <mergeCell ref="F10:G10"/>
    <mergeCell ref="H10:I10"/>
    <mergeCell ref="A10:A11"/>
  </mergeCells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M106"/>
  <sheetViews>
    <sheetView topLeftCell="AB1" workbookViewId="0">
      <selection activeCell="AC1" sqref="AC1"/>
    </sheetView>
  </sheetViews>
  <sheetFormatPr defaultRowHeight="15" x14ac:dyDescent="0.25"/>
  <cols>
    <col min="1" max="8" width="9.140625" style="339"/>
    <col min="9" max="9" width="9.140625" style="339" customWidth="1"/>
    <col min="10" max="10" width="21.140625" style="340" bestFit="1" customWidth="1"/>
    <col min="11" max="18" width="9.140625" style="339"/>
    <col min="19" max="19" width="9.140625" style="366"/>
    <col min="20" max="16384" width="9.140625" style="339"/>
  </cols>
  <sheetData>
    <row r="1" spans="1:39" x14ac:dyDescent="0.25">
      <c r="A1" s="141" t="s">
        <v>364</v>
      </c>
    </row>
    <row r="3" spans="1:39" x14ac:dyDescent="0.25">
      <c r="A3" s="1406" t="s">
        <v>316</v>
      </c>
      <c r="B3" s="1406"/>
      <c r="C3" s="1406"/>
      <c r="D3" s="347"/>
      <c r="E3" s="1406" t="s">
        <v>271</v>
      </c>
      <c r="F3" s="1406"/>
      <c r="G3" s="1406"/>
      <c r="K3" s="339" t="s">
        <v>316</v>
      </c>
      <c r="O3" s="339" t="s">
        <v>271</v>
      </c>
      <c r="S3" s="367" t="s">
        <v>12</v>
      </c>
      <c r="T3" s="365"/>
      <c r="U3" s="365"/>
      <c r="V3" s="365"/>
      <c r="W3" s="365" t="s">
        <v>11</v>
      </c>
      <c r="X3" s="365"/>
      <c r="Y3" s="365"/>
      <c r="AC3" s="1225" t="s">
        <v>616</v>
      </c>
      <c r="AD3" s="1225"/>
      <c r="AE3" s="1225"/>
      <c r="AF3" s="1225"/>
      <c r="AG3" s="1225"/>
      <c r="AH3" s="1225"/>
      <c r="AI3" s="1225"/>
      <c r="AJ3" s="1225"/>
      <c r="AK3" s="1225"/>
      <c r="AL3" s="1225"/>
      <c r="AM3" s="1225"/>
    </row>
    <row r="4" spans="1:39" x14ac:dyDescent="0.25">
      <c r="A4" s="1404"/>
      <c r="B4" s="1407" t="s">
        <v>12</v>
      </c>
      <c r="C4" s="1408"/>
      <c r="D4" s="348"/>
      <c r="E4" s="1407" t="s">
        <v>11</v>
      </c>
      <c r="F4" s="1408"/>
      <c r="G4" s="349"/>
      <c r="H4" s="349"/>
      <c r="I4" s="349"/>
      <c r="L4" s="339" t="s">
        <v>12</v>
      </c>
      <c r="O4" s="339" t="s">
        <v>11</v>
      </c>
      <c r="S4" s="367"/>
      <c r="T4" s="365"/>
      <c r="U4" s="365"/>
      <c r="V4" s="365"/>
      <c r="W4" s="365"/>
      <c r="X4" s="365"/>
      <c r="Y4" s="365"/>
      <c r="AC4" s="1225"/>
      <c r="AD4" s="1225"/>
      <c r="AE4" s="1225"/>
      <c r="AF4" s="1225"/>
      <c r="AG4" s="1225"/>
      <c r="AH4" s="1225"/>
      <c r="AI4" s="1225"/>
      <c r="AJ4" s="1225"/>
      <c r="AK4" s="1225"/>
      <c r="AL4" s="1225"/>
      <c r="AM4" s="1225"/>
    </row>
    <row r="5" spans="1:39" ht="24.75" x14ac:dyDescent="0.25">
      <c r="A5" s="1405"/>
      <c r="B5" s="350" t="s">
        <v>113</v>
      </c>
      <c r="C5" s="350" t="s">
        <v>114</v>
      </c>
      <c r="D5" s="350" t="s">
        <v>217</v>
      </c>
      <c r="E5" s="350" t="s">
        <v>113</v>
      </c>
      <c r="F5" s="350" t="s">
        <v>114</v>
      </c>
      <c r="G5" s="351" t="s">
        <v>217</v>
      </c>
      <c r="H5" s="349"/>
      <c r="I5" s="349"/>
      <c r="L5" s="339" t="s">
        <v>113</v>
      </c>
      <c r="M5" s="339" t="s">
        <v>114</v>
      </c>
      <c r="N5" s="339" t="s">
        <v>217</v>
      </c>
      <c r="O5" s="339" t="s">
        <v>113</v>
      </c>
      <c r="P5" s="339" t="s">
        <v>114</v>
      </c>
      <c r="Q5" s="339" t="s">
        <v>217</v>
      </c>
      <c r="S5" s="367"/>
      <c r="T5" s="365" t="s">
        <v>113</v>
      </c>
      <c r="U5" s="365" t="s">
        <v>114</v>
      </c>
      <c r="V5" s="365" t="s">
        <v>217</v>
      </c>
      <c r="W5" s="365" t="s">
        <v>113</v>
      </c>
      <c r="X5" s="365" t="s">
        <v>114</v>
      </c>
      <c r="Y5" s="365" t="s">
        <v>217</v>
      </c>
    </row>
    <row r="6" spans="1:39" x14ac:dyDescent="0.25">
      <c r="A6" s="346" t="s">
        <v>0</v>
      </c>
      <c r="B6" s="352">
        <v>1.6114354663154199E-2</v>
      </c>
      <c r="C6" s="353">
        <v>2.2850381509330464E-4</v>
      </c>
      <c r="D6" s="354">
        <v>1.6342858478247502E-2</v>
      </c>
      <c r="E6" s="352">
        <v>3.4702162814225041E-3</v>
      </c>
      <c r="F6" s="353">
        <v>2.7376539349880085E-3</v>
      </c>
      <c r="G6" s="354">
        <v>6.2078702164105127E-3</v>
      </c>
      <c r="H6" s="349"/>
      <c r="I6" s="355" t="e">
        <f>Г6-Д6</f>
        <v>#NAME?</v>
      </c>
      <c r="K6" s="340" t="s">
        <v>0</v>
      </c>
      <c r="L6" s="339">
        <v>1.6114354663154199E-2</v>
      </c>
      <c r="M6" s="339">
        <v>2.2850381509330464E-4</v>
      </c>
      <c r="N6" s="339">
        <v>1.6342858478247502E-2</v>
      </c>
      <c r="O6" s="339">
        <v>3.4702162814225041E-3</v>
      </c>
      <c r="P6" s="339">
        <v>2.7376539349880085E-3</v>
      </c>
      <c r="Q6" s="339">
        <v>6.2078702164105127E-3</v>
      </c>
      <c r="S6" s="345">
        <v>0.16666666666666666</v>
      </c>
      <c r="T6" s="365">
        <v>1.61143546631542</v>
      </c>
      <c r="U6" s="365">
        <v>2.2850381509330463E-2</v>
      </c>
      <c r="V6" s="365">
        <v>1.6342858478247502</v>
      </c>
      <c r="W6" s="365">
        <v>0.3470216281422504</v>
      </c>
      <c r="X6" s="365">
        <v>0.27376539349880086</v>
      </c>
      <c r="Y6" s="365">
        <v>0.62078702164105126</v>
      </c>
    </row>
    <row r="7" spans="1:39" x14ac:dyDescent="0.25">
      <c r="A7" s="343"/>
      <c r="B7" s="356">
        <v>2.0570579682880827E-2</v>
      </c>
      <c r="C7" s="357">
        <v>1.1038053366323167E-3</v>
      </c>
      <c r="D7" s="354">
        <v>2.1674385019513142E-2</v>
      </c>
      <c r="E7" s="356">
        <v>4.4131341740817377E-3</v>
      </c>
      <c r="F7" s="357">
        <v>2.3146133682439966E-3</v>
      </c>
      <c r="G7" s="354">
        <v>6.7277475423257339E-3</v>
      </c>
      <c r="H7" s="349"/>
      <c r="I7" s="355" t="e">
        <f>Г7-Д7</f>
        <v>#NAME?</v>
      </c>
      <c r="K7" s="340"/>
      <c r="L7" s="339">
        <v>2.0570579682880827E-2</v>
      </c>
      <c r="M7" s="339">
        <v>1.1038053366323167E-3</v>
      </c>
      <c r="N7" s="339">
        <v>2.1674385019513142E-2</v>
      </c>
      <c r="O7" s="339">
        <v>4.4131341740817377E-3</v>
      </c>
      <c r="P7" s="339">
        <v>2.3146133682439966E-3</v>
      </c>
      <c r="Q7" s="339">
        <v>6.7277475423257339E-3</v>
      </c>
      <c r="S7" s="345"/>
      <c r="T7" s="365">
        <v>2.0570579682880825</v>
      </c>
      <c r="U7" s="365">
        <v>0.11038053366323167</v>
      </c>
      <c r="V7" s="365">
        <v>2.167438501951314</v>
      </c>
      <c r="W7" s="365">
        <v>0.44131341740817376</v>
      </c>
      <c r="X7" s="365">
        <v>0.23146133682439965</v>
      </c>
      <c r="Y7" s="365">
        <v>0.67277475423257338</v>
      </c>
    </row>
    <row r="8" spans="1:39" x14ac:dyDescent="0.25">
      <c r="A8" s="343"/>
      <c r="B8" s="356">
        <v>3.0659903450161296E-2</v>
      </c>
      <c r="C8" s="357">
        <v>6.2984571731623529E-3</v>
      </c>
      <c r="D8" s="354">
        <v>3.6958360623323652E-2</v>
      </c>
      <c r="E8" s="356">
        <v>1.4300945972094017E-2</v>
      </c>
      <c r="F8" s="357">
        <v>7.7473909808159994E-3</v>
      </c>
      <c r="G8" s="354">
        <v>2.2048336952910016E-2</v>
      </c>
      <c r="H8" s="349"/>
      <c r="I8" s="355" t="e">
        <f>Г8-Д8</f>
        <v>#NAME?</v>
      </c>
      <c r="K8" s="340"/>
      <c r="L8" s="339">
        <v>3.0659903450161296E-2</v>
      </c>
      <c r="M8" s="339">
        <v>6.2984571731623529E-3</v>
      </c>
      <c r="N8" s="339">
        <v>3.6958360623323652E-2</v>
      </c>
      <c r="O8" s="339">
        <v>1.4300945972094017E-2</v>
      </c>
      <c r="P8" s="339">
        <v>7.7473909808159994E-3</v>
      </c>
      <c r="Q8" s="339">
        <v>2.2048336952910016E-2</v>
      </c>
      <c r="S8" s="345"/>
      <c r="T8" s="365">
        <v>3.0659903450161297</v>
      </c>
      <c r="U8" s="365">
        <v>0.62984571731623529</v>
      </c>
      <c r="V8" s="365">
        <v>3.6958360623323654</v>
      </c>
      <c r="W8" s="365">
        <v>1.4300945972094017</v>
      </c>
      <c r="X8" s="365">
        <v>0.77473909808159991</v>
      </c>
      <c r="Y8" s="365">
        <v>2.2048336952910015</v>
      </c>
    </row>
    <row r="9" spans="1:39" x14ac:dyDescent="0.25">
      <c r="A9" s="343"/>
      <c r="B9" s="356">
        <v>6.4520291768647223E-2</v>
      </c>
      <c r="C9" s="357">
        <v>1.2264822377756923E-2</v>
      </c>
      <c r="D9" s="354">
        <v>7.678511414640414E-2</v>
      </c>
      <c r="E9" s="356">
        <v>3.2248516257502288E-2</v>
      </c>
      <c r="F9" s="357">
        <v>1.4878991630163818E-2</v>
      </c>
      <c r="G9" s="354">
        <v>4.7127507887666106E-2</v>
      </c>
      <c r="H9" s="349"/>
      <c r="I9" s="355" t="e">
        <f>Г9-Д9</f>
        <v>#NAME?</v>
      </c>
      <c r="K9" s="340"/>
      <c r="L9" s="339">
        <v>6.4520291768647223E-2</v>
      </c>
      <c r="M9" s="339">
        <v>1.2264822377756923E-2</v>
      </c>
      <c r="N9" s="339">
        <v>7.678511414640414E-2</v>
      </c>
      <c r="O9" s="339">
        <v>3.2248516257502288E-2</v>
      </c>
      <c r="P9" s="339">
        <v>1.4878991630163818E-2</v>
      </c>
      <c r="Q9" s="339">
        <v>4.7127507887666106E-2</v>
      </c>
      <c r="S9" s="345"/>
      <c r="T9" s="365">
        <v>6.4520291768647224</v>
      </c>
      <c r="U9" s="365">
        <v>1.2264822377756923</v>
      </c>
      <c r="V9" s="365">
        <v>7.6785114146404139</v>
      </c>
      <c r="W9" s="365">
        <v>3.2248516257502287</v>
      </c>
      <c r="X9" s="365">
        <v>1.4878991630163818</v>
      </c>
      <c r="Y9" s="365">
        <v>4.7127507887666109</v>
      </c>
    </row>
    <row r="10" spans="1:39" ht="16.5" customHeight="1" x14ac:dyDescent="0.25">
      <c r="A10" s="344" t="s">
        <v>355</v>
      </c>
      <c r="B10" s="356">
        <v>0.10821937898956867</v>
      </c>
      <c r="C10" s="357">
        <v>1.8971955530105333E-2</v>
      </c>
      <c r="D10" s="354">
        <v>0.12719133451967402</v>
      </c>
      <c r="E10" s="356">
        <v>6.7164289809682878E-2</v>
      </c>
      <c r="F10" s="357">
        <v>2.9880226944196116E-2</v>
      </c>
      <c r="G10" s="354">
        <v>9.7044516753878998E-2</v>
      </c>
      <c r="H10" s="349"/>
      <c r="I10" s="355" t="e">
        <f>Г10-Д10</f>
        <v>#NAME?</v>
      </c>
      <c r="K10" s="340">
        <v>0.25</v>
      </c>
      <c r="L10" s="339">
        <v>0.10821937898956867</v>
      </c>
      <c r="M10" s="339">
        <v>1.8971955530105333E-2</v>
      </c>
      <c r="N10" s="339">
        <v>0.12719133451967402</v>
      </c>
      <c r="O10" s="339">
        <v>6.7164289809682878E-2</v>
      </c>
      <c r="P10" s="339">
        <v>2.9880226944196116E-2</v>
      </c>
      <c r="Q10" s="339">
        <v>9.7044516753878998E-2</v>
      </c>
      <c r="S10" s="345">
        <v>0.25</v>
      </c>
      <c r="T10" s="365">
        <v>10.821937898956866</v>
      </c>
      <c r="U10" s="365">
        <v>1.8971955530105333</v>
      </c>
      <c r="V10" s="365">
        <v>12.719133451967402</v>
      </c>
      <c r="W10" s="365">
        <v>6.7164289809682876</v>
      </c>
      <c r="X10" s="365">
        <v>2.9880226944196115</v>
      </c>
      <c r="Y10" s="365">
        <v>9.7044516753878991</v>
      </c>
    </row>
    <row r="11" spans="1:39" x14ac:dyDescent="0.25">
      <c r="A11" s="343"/>
      <c r="B11" s="356">
        <v>0.18805627260946176</v>
      </c>
      <c r="C11" s="357">
        <v>3.7380694894986695E-2</v>
      </c>
      <c r="D11" s="354">
        <v>0.22543696750444844</v>
      </c>
      <c r="E11" s="356">
        <v>0.12080326232100159</v>
      </c>
      <c r="F11" s="357">
        <v>4.8547050681283552E-2</v>
      </c>
      <c r="G11" s="354">
        <v>0.16935031300228515</v>
      </c>
      <c r="H11" s="349"/>
      <c r="I11" s="355" t="e">
        <f>Г11-Д11</f>
        <v>#NAME?</v>
      </c>
      <c r="K11" s="340"/>
      <c r="L11" s="339">
        <v>0.18805627260946176</v>
      </c>
      <c r="M11" s="339">
        <v>3.7380694894986695E-2</v>
      </c>
      <c r="N11" s="339">
        <v>0.22543696750444844</v>
      </c>
      <c r="O11" s="339">
        <v>0.12080326232100159</v>
      </c>
      <c r="P11" s="339">
        <v>4.8547050681283552E-2</v>
      </c>
      <c r="Q11" s="339">
        <v>0.16935031300228515</v>
      </c>
      <c r="S11" s="345"/>
      <c r="T11" s="365">
        <v>18.805627260946174</v>
      </c>
      <c r="U11" s="365">
        <v>3.7380694894986695</v>
      </c>
      <c r="V11" s="365">
        <v>22.543696750444845</v>
      </c>
      <c r="W11" s="365">
        <v>12.080326232100159</v>
      </c>
      <c r="X11" s="365">
        <v>4.8547050681283554</v>
      </c>
      <c r="Y11" s="365">
        <v>16.935031300228516</v>
      </c>
    </row>
    <row r="12" spans="1:39" x14ac:dyDescent="0.25">
      <c r="A12" s="343"/>
      <c r="B12" s="356">
        <v>0.2800338414019598</v>
      </c>
      <c r="C12" s="357">
        <v>6.0423786576994848E-2</v>
      </c>
      <c r="D12" s="354">
        <v>0.34045762797895462</v>
      </c>
      <c r="E12" s="356">
        <v>0.18267395469009856</v>
      </c>
      <c r="F12" s="357">
        <v>0.11559977629164306</v>
      </c>
      <c r="G12" s="354">
        <v>0.29827373098174159</v>
      </c>
      <c r="H12" s="349"/>
      <c r="I12" s="355" t="e">
        <f>Г12-Д12</f>
        <v>#NAME?</v>
      </c>
      <c r="K12" s="340"/>
      <c r="L12" s="339">
        <v>0.2800338414019598</v>
      </c>
      <c r="M12" s="339">
        <v>6.0423786576994848E-2</v>
      </c>
      <c r="N12" s="339">
        <v>0.34045762797895462</v>
      </c>
      <c r="O12" s="339">
        <v>0.18267395469009856</v>
      </c>
      <c r="P12" s="339">
        <v>0.11559977629164306</v>
      </c>
      <c r="Q12" s="339">
        <v>0.29827373098174159</v>
      </c>
      <c r="S12" s="345"/>
      <c r="T12" s="365">
        <v>28.00338414019598</v>
      </c>
      <c r="U12" s="365">
        <v>6.0423786576994845</v>
      </c>
      <c r="V12" s="365">
        <v>34.045762797895463</v>
      </c>
      <c r="W12" s="365">
        <v>18.267395469009855</v>
      </c>
      <c r="X12" s="365">
        <v>11.559977629164306</v>
      </c>
      <c r="Y12" s="365">
        <v>29.82737309817416</v>
      </c>
    </row>
    <row r="13" spans="1:39" x14ac:dyDescent="0.25">
      <c r="A13" s="343"/>
      <c r="B13" s="356">
        <v>0.35833279834619786</v>
      </c>
      <c r="C13" s="357">
        <v>8.982164520958151E-2</v>
      </c>
      <c r="D13" s="354">
        <v>0.44815444355577938</v>
      </c>
      <c r="E13" s="356">
        <v>0.22517858467789129</v>
      </c>
      <c r="F13" s="357">
        <v>0.17720081090032169</v>
      </c>
      <c r="G13" s="354">
        <v>0.40237939557821301</v>
      </c>
      <c r="H13" s="349"/>
      <c r="I13" s="355" t="e">
        <f>Г13-Д13</f>
        <v>#NAME?</v>
      </c>
      <c r="K13" s="340"/>
      <c r="L13" s="339">
        <v>0.35833279834619786</v>
      </c>
      <c r="M13" s="339">
        <v>8.982164520958151E-2</v>
      </c>
      <c r="N13" s="339">
        <v>0.44815444355577938</v>
      </c>
      <c r="O13" s="339">
        <v>0.22517858467789129</v>
      </c>
      <c r="P13" s="339">
        <v>0.17720081090032169</v>
      </c>
      <c r="Q13" s="339">
        <v>0.40237939557821301</v>
      </c>
      <c r="S13" s="345"/>
      <c r="T13" s="365">
        <v>35.833279834619788</v>
      </c>
      <c r="U13" s="365">
        <v>8.9821645209581504</v>
      </c>
      <c r="V13" s="365">
        <v>44.815444355577938</v>
      </c>
      <c r="W13" s="365">
        <v>22.517858467789129</v>
      </c>
      <c r="X13" s="365">
        <v>17.720081090032171</v>
      </c>
      <c r="Y13" s="365">
        <v>40.237939557821299</v>
      </c>
    </row>
    <row r="14" spans="1:39" x14ac:dyDescent="0.25">
      <c r="A14" s="343" t="s">
        <v>1</v>
      </c>
      <c r="B14" s="356">
        <v>0.42226630994793912</v>
      </c>
      <c r="C14" s="357">
        <v>0.12104751774226251</v>
      </c>
      <c r="D14" s="354">
        <v>0.54331382769020165</v>
      </c>
      <c r="E14" s="356">
        <v>0.27680534567532517</v>
      </c>
      <c r="F14" s="357">
        <v>0.2210482588294693</v>
      </c>
      <c r="G14" s="354">
        <v>0.49785360450479443</v>
      </c>
      <c r="H14" s="349"/>
      <c r="I14" s="355" t="e">
        <f>Г14-Д14</f>
        <v>#NAME?</v>
      </c>
      <c r="K14" s="340" t="s">
        <v>1</v>
      </c>
      <c r="L14" s="339">
        <v>0.42226630994793912</v>
      </c>
      <c r="M14" s="339">
        <v>0.12104751774226251</v>
      </c>
      <c r="N14" s="339">
        <v>0.54331382769020165</v>
      </c>
      <c r="O14" s="339">
        <v>0.27680534567532517</v>
      </c>
      <c r="P14" s="339">
        <v>0.2210482588294693</v>
      </c>
      <c r="Q14" s="339">
        <v>0.49785360450479443</v>
      </c>
      <c r="S14" s="345">
        <v>0.33333333333333331</v>
      </c>
      <c r="T14" s="365">
        <v>42.226630994793915</v>
      </c>
      <c r="U14" s="365">
        <v>12.104751774226251</v>
      </c>
      <c r="V14" s="365">
        <v>54.331382769020166</v>
      </c>
      <c r="W14" s="365">
        <v>27.680534567532515</v>
      </c>
      <c r="X14" s="365">
        <v>22.10482588294693</v>
      </c>
      <c r="Y14" s="365">
        <v>49.785360450479445</v>
      </c>
    </row>
    <row r="15" spans="1:39" x14ac:dyDescent="0.25">
      <c r="A15" s="343"/>
      <c r="B15" s="356">
        <v>0.45468802365698885</v>
      </c>
      <c r="C15" s="357">
        <v>0.14494087412456957</v>
      </c>
      <c r="D15" s="354">
        <v>0.59962889778155848</v>
      </c>
      <c r="E15" s="356">
        <v>0.29075164062929199</v>
      </c>
      <c r="F15" s="357">
        <v>0.2600652267232193</v>
      </c>
      <c r="G15" s="354">
        <v>0.55081686735251134</v>
      </c>
      <c r="H15" s="349"/>
      <c r="I15" s="355" t="e">
        <f>Г15-Д15</f>
        <v>#NAME?</v>
      </c>
      <c r="K15" s="340"/>
      <c r="L15" s="339">
        <v>0.45468802365698885</v>
      </c>
      <c r="M15" s="339">
        <v>0.14494087412456957</v>
      </c>
      <c r="N15" s="339">
        <v>0.59962889778155848</v>
      </c>
      <c r="O15" s="339">
        <v>0.29075164062929199</v>
      </c>
      <c r="P15" s="339">
        <v>0.2600652267232193</v>
      </c>
      <c r="Q15" s="339">
        <v>0.55081686735251134</v>
      </c>
      <c r="S15" s="345"/>
      <c r="T15" s="365">
        <v>45.468802365698885</v>
      </c>
      <c r="U15" s="365">
        <v>14.494087412456958</v>
      </c>
      <c r="V15" s="365">
        <v>59.962889778155848</v>
      </c>
      <c r="W15" s="365">
        <v>29.075164062929197</v>
      </c>
      <c r="X15" s="365">
        <v>26.006522672321928</v>
      </c>
      <c r="Y15" s="365">
        <v>55.081686735251132</v>
      </c>
    </row>
    <row r="16" spans="1:39" x14ac:dyDescent="0.25">
      <c r="A16" s="343"/>
      <c r="B16" s="356">
        <v>0.43718323130229003</v>
      </c>
      <c r="C16" s="357">
        <v>0.15716258616849102</v>
      </c>
      <c r="D16" s="354">
        <v>0.59434581747078108</v>
      </c>
      <c r="E16" s="356">
        <v>0.2873611640743623</v>
      </c>
      <c r="F16" s="357">
        <v>0.27113854550390115</v>
      </c>
      <c r="G16" s="354">
        <v>0.55849970957826345</v>
      </c>
      <c r="H16" s="349"/>
      <c r="I16" s="355" t="e">
        <f>Г16-Д16</f>
        <v>#NAME?</v>
      </c>
      <c r="K16" s="340"/>
      <c r="L16" s="339">
        <v>0.43718323130229003</v>
      </c>
      <c r="M16" s="339">
        <v>0.15716258616849102</v>
      </c>
      <c r="N16" s="339">
        <v>0.59434581747078108</v>
      </c>
      <c r="O16" s="339">
        <v>0.2873611640743623</v>
      </c>
      <c r="P16" s="339">
        <v>0.27113854550390115</v>
      </c>
      <c r="Q16" s="339">
        <v>0.55849970957826345</v>
      </c>
      <c r="S16" s="345"/>
      <c r="T16" s="365">
        <v>43.718323130229003</v>
      </c>
      <c r="U16" s="365">
        <v>15.716258616849101</v>
      </c>
      <c r="V16" s="365">
        <v>59.434581747078106</v>
      </c>
      <c r="W16" s="365">
        <v>28.736116407436228</v>
      </c>
      <c r="X16" s="365">
        <v>27.113854550390116</v>
      </c>
      <c r="Y16" s="365">
        <v>55.849970957826343</v>
      </c>
    </row>
    <row r="17" spans="1:25" x14ac:dyDescent="0.25">
      <c r="A17" s="343"/>
      <c r="B17" s="356">
        <v>0.46916959954860471</v>
      </c>
      <c r="C17" s="357">
        <v>0.15249476463668954</v>
      </c>
      <c r="D17" s="354">
        <v>0.62166436418529425</v>
      </c>
      <c r="E17" s="356">
        <v>0.30750257579996304</v>
      </c>
      <c r="F17" s="357">
        <v>0.30162994142188376</v>
      </c>
      <c r="G17" s="354">
        <v>0.6091325172218468</v>
      </c>
      <c r="H17" s="349"/>
      <c r="I17" s="355" t="e">
        <f>Г17-Д17</f>
        <v>#NAME?</v>
      </c>
      <c r="K17" s="340"/>
      <c r="L17" s="339">
        <v>0.46916959954860471</v>
      </c>
      <c r="M17" s="339">
        <v>0.15249476463668954</v>
      </c>
      <c r="N17" s="339">
        <v>0.62166436418529425</v>
      </c>
      <c r="O17" s="339">
        <v>0.30750257579996304</v>
      </c>
      <c r="P17" s="339">
        <v>0.30162994142188376</v>
      </c>
      <c r="Q17" s="339">
        <v>0.6091325172218468</v>
      </c>
      <c r="S17" s="345"/>
      <c r="T17" s="365">
        <v>46.916959954860474</v>
      </c>
      <c r="U17" s="365">
        <v>15.249476463668953</v>
      </c>
      <c r="V17" s="365">
        <v>62.166436418529422</v>
      </c>
      <c r="W17" s="365">
        <v>30.750257579996305</v>
      </c>
      <c r="X17" s="365">
        <v>30.162994142188378</v>
      </c>
      <c r="Y17" s="365">
        <v>60.913251722184683</v>
      </c>
    </row>
    <row r="18" spans="1:25" ht="24" x14ac:dyDescent="0.25">
      <c r="A18" s="344" t="s">
        <v>267</v>
      </c>
      <c r="B18" s="356">
        <v>0.39441154976671522</v>
      </c>
      <c r="C18" s="357">
        <v>0.18336657856260935</v>
      </c>
      <c r="D18" s="354">
        <v>0.57777812832932463</v>
      </c>
      <c r="E18" s="356">
        <v>0.25116954965041616</v>
      </c>
      <c r="F18" s="357">
        <v>0.35315002855947336</v>
      </c>
      <c r="G18" s="354">
        <v>0.60431957820988957</v>
      </c>
      <c r="H18" s="349"/>
      <c r="I18" s="355" t="e">
        <f>Г18-Д18</f>
        <v>#NAME?</v>
      </c>
      <c r="K18" s="340">
        <v>0.41666666666666669</v>
      </c>
      <c r="L18" s="339">
        <v>0.39441154976671522</v>
      </c>
      <c r="M18" s="339">
        <v>0.18336657856260935</v>
      </c>
      <c r="N18" s="339">
        <v>0.57777812832932463</v>
      </c>
      <c r="O18" s="339">
        <v>0.25116954965041616</v>
      </c>
      <c r="P18" s="339">
        <v>0.35315002855947336</v>
      </c>
      <c r="Q18" s="339">
        <v>0.60431957820988957</v>
      </c>
      <c r="S18" s="345">
        <v>0.41666666666666669</v>
      </c>
      <c r="T18" s="365">
        <v>39.44115497667152</v>
      </c>
      <c r="U18" s="365">
        <v>18.336657856260935</v>
      </c>
      <c r="V18" s="365">
        <v>57.777812832932462</v>
      </c>
      <c r="W18" s="365">
        <v>25.116954965041614</v>
      </c>
      <c r="X18" s="365">
        <v>35.315002855947334</v>
      </c>
      <c r="Y18" s="365">
        <v>60.431957820988956</v>
      </c>
    </row>
    <row r="19" spans="1:25" x14ac:dyDescent="0.25">
      <c r="A19" s="343"/>
      <c r="B19" s="356">
        <v>0.48170210713604528</v>
      </c>
      <c r="C19" s="357">
        <v>0.17822513339500443</v>
      </c>
      <c r="D19" s="354">
        <v>0.65992724053104967</v>
      </c>
      <c r="E19" s="356">
        <v>0.30486173029695818</v>
      </c>
      <c r="F19" s="357">
        <v>0.35745209161284569</v>
      </c>
      <c r="G19" s="354">
        <v>0.66231382190980392</v>
      </c>
      <c r="H19" s="349"/>
      <c r="I19" s="355" t="e">
        <f>Г19-Д19</f>
        <v>#NAME?</v>
      </c>
      <c r="K19" s="340"/>
      <c r="L19" s="339">
        <v>0.48170210713604528</v>
      </c>
      <c r="M19" s="339">
        <v>0.17822513339500443</v>
      </c>
      <c r="N19" s="339">
        <v>0.65992724053104967</v>
      </c>
      <c r="O19" s="339">
        <v>0.30486173029695818</v>
      </c>
      <c r="P19" s="339">
        <v>0.35745209161284569</v>
      </c>
      <c r="Q19" s="339">
        <v>0.66231382190980392</v>
      </c>
      <c r="S19" s="345"/>
      <c r="T19" s="365">
        <v>48.170210713604526</v>
      </c>
      <c r="U19" s="365">
        <v>17.822513339500443</v>
      </c>
      <c r="V19" s="365">
        <v>65.992724053104965</v>
      </c>
      <c r="W19" s="365">
        <v>30.486173029695816</v>
      </c>
      <c r="X19" s="365">
        <v>35.745209161284571</v>
      </c>
      <c r="Y19" s="365">
        <v>66.231382190980398</v>
      </c>
    </row>
    <row r="20" spans="1:25" x14ac:dyDescent="0.25">
      <c r="A20" s="343"/>
      <c r="B20" s="356">
        <v>0.48912574856568214</v>
      </c>
      <c r="C20" s="357">
        <v>0.16735423518385337</v>
      </c>
      <c r="D20" s="354">
        <v>0.65647998374953553</v>
      </c>
      <c r="E20" s="356">
        <v>0.31481685806927145</v>
      </c>
      <c r="F20" s="357">
        <v>0.35127011076618297</v>
      </c>
      <c r="G20" s="354">
        <v>0.66608696883545448</v>
      </c>
      <c r="H20" s="349"/>
      <c r="I20" s="355" t="e">
        <f>Г20-Д20</f>
        <v>#NAME?</v>
      </c>
      <c r="K20" s="340"/>
      <c r="L20" s="339">
        <v>0.48912574856568214</v>
      </c>
      <c r="M20" s="339">
        <v>0.16735423518385337</v>
      </c>
      <c r="N20" s="339">
        <v>0.65647998374953553</v>
      </c>
      <c r="O20" s="339">
        <v>0.31481685806927145</v>
      </c>
      <c r="P20" s="339">
        <v>0.35127011076618297</v>
      </c>
      <c r="Q20" s="339">
        <v>0.66608696883545448</v>
      </c>
      <c r="S20" s="345"/>
      <c r="T20" s="365">
        <v>48.912574856568213</v>
      </c>
      <c r="U20" s="365">
        <v>16.735423518385335</v>
      </c>
      <c r="V20" s="365">
        <v>65.647998374953559</v>
      </c>
      <c r="W20" s="365">
        <v>31.481685806927146</v>
      </c>
      <c r="X20" s="365">
        <v>35.127011076618295</v>
      </c>
      <c r="Y20" s="365">
        <v>66.608696883545448</v>
      </c>
    </row>
    <row r="21" spans="1:25" x14ac:dyDescent="0.25">
      <c r="A21" s="343"/>
      <c r="B21" s="356">
        <v>0.52137747088045316</v>
      </c>
      <c r="C21" s="357">
        <v>0.16034058509883167</v>
      </c>
      <c r="D21" s="354">
        <v>0.68171805597928481</v>
      </c>
      <c r="E21" s="356">
        <v>0.34318992714028002</v>
      </c>
      <c r="F21" s="357">
        <v>0.36549069681320762</v>
      </c>
      <c r="G21" s="354">
        <v>0.70868062395348763</v>
      </c>
      <c r="H21" s="349"/>
      <c r="I21" s="355" t="e">
        <f>Г21-Д21</f>
        <v>#NAME?</v>
      </c>
      <c r="K21" s="340"/>
      <c r="L21" s="339">
        <v>0.52137747088045316</v>
      </c>
      <c r="M21" s="339">
        <v>0.16034058509883167</v>
      </c>
      <c r="N21" s="339">
        <v>0.68171805597928481</v>
      </c>
      <c r="O21" s="339">
        <v>0.34318992714028002</v>
      </c>
      <c r="P21" s="339">
        <v>0.36549069681320762</v>
      </c>
      <c r="Q21" s="339">
        <v>0.70868062395348763</v>
      </c>
      <c r="S21" s="345"/>
      <c r="T21" s="365">
        <v>52.137747088045316</v>
      </c>
      <c r="U21" s="365">
        <v>16.034058509883167</v>
      </c>
      <c r="V21" s="365">
        <v>68.171805597928483</v>
      </c>
      <c r="W21" s="365">
        <v>34.318992714027999</v>
      </c>
      <c r="X21" s="365">
        <v>36.549069681320759</v>
      </c>
      <c r="Y21" s="365">
        <v>70.868062395348758</v>
      </c>
    </row>
    <row r="22" spans="1:25" x14ac:dyDescent="0.25">
      <c r="A22" s="343" t="s">
        <v>2</v>
      </c>
      <c r="B22" s="356">
        <v>0.50979054519107514</v>
      </c>
      <c r="C22" s="357">
        <v>0.14143634924180731</v>
      </c>
      <c r="D22" s="354">
        <v>0.65122689443288251</v>
      </c>
      <c r="E22" s="356">
        <v>0.35083567030696577</v>
      </c>
      <c r="F22" s="357">
        <v>0.34821290839435209</v>
      </c>
      <c r="G22" s="354">
        <v>0.69904857870131787</v>
      </c>
      <c r="H22" s="349"/>
      <c r="I22" s="355" t="e">
        <f>Г22-Д22</f>
        <v>#NAME?</v>
      </c>
      <c r="K22" s="340" t="s">
        <v>2</v>
      </c>
      <c r="L22" s="339">
        <v>0.50979054519107514</v>
      </c>
      <c r="M22" s="339">
        <v>0.14143634924180731</v>
      </c>
      <c r="N22" s="339">
        <v>0.65122689443288251</v>
      </c>
      <c r="O22" s="339">
        <v>0.35083567030696577</v>
      </c>
      <c r="P22" s="339">
        <v>0.34821290839435209</v>
      </c>
      <c r="Q22" s="339">
        <v>0.69904857870131787</v>
      </c>
      <c r="S22" s="345" t="s">
        <v>2</v>
      </c>
      <c r="T22" s="365">
        <v>50.979054519107514</v>
      </c>
      <c r="U22" s="365">
        <v>14.143634924180731</v>
      </c>
      <c r="V22" s="365">
        <v>65.122689443288252</v>
      </c>
      <c r="W22" s="365">
        <v>35.083567030696578</v>
      </c>
      <c r="X22" s="365">
        <v>34.821290839435207</v>
      </c>
      <c r="Y22" s="365">
        <v>69.904857870131792</v>
      </c>
    </row>
    <row r="23" spans="1:25" x14ac:dyDescent="0.25">
      <c r="A23" s="343"/>
      <c r="B23" s="356">
        <v>0.52637497211192541</v>
      </c>
      <c r="C23" s="357">
        <v>0.13945721243349116</v>
      </c>
      <c r="D23" s="354">
        <v>0.66583218454541659</v>
      </c>
      <c r="E23" s="356">
        <v>0.37226912342067892</v>
      </c>
      <c r="F23" s="357">
        <v>0.33724879705988475</v>
      </c>
      <c r="G23" s="354">
        <v>0.70951792048056372</v>
      </c>
      <c r="H23" s="349"/>
      <c r="I23" s="355" t="e">
        <f>Г23-Д23</f>
        <v>#NAME?</v>
      </c>
      <c r="K23" s="340"/>
      <c r="L23" s="339">
        <v>0.52637497211192541</v>
      </c>
      <c r="M23" s="339">
        <v>0.13945721243349116</v>
      </c>
      <c r="N23" s="339">
        <v>0.66583218454541659</v>
      </c>
      <c r="O23" s="339">
        <v>0.37226912342067892</v>
      </c>
      <c r="P23" s="339">
        <v>0.33724879705988475</v>
      </c>
      <c r="Q23" s="339">
        <v>0.70951792048056372</v>
      </c>
      <c r="S23" s="345"/>
      <c r="T23" s="365">
        <v>52.637497211192539</v>
      </c>
      <c r="U23" s="365">
        <v>13.945721243349116</v>
      </c>
      <c r="V23" s="365">
        <v>66.583218454541665</v>
      </c>
      <c r="W23" s="365">
        <v>37.226912342067891</v>
      </c>
      <c r="X23" s="365">
        <v>33.724879705988478</v>
      </c>
      <c r="Y23" s="365">
        <v>70.951792048056376</v>
      </c>
    </row>
    <row r="24" spans="1:25" x14ac:dyDescent="0.25">
      <c r="A24" s="343"/>
      <c r="B24" s="356">
        <v>0.48143829803348248</v>
      </c>
      <c r="C24" s="357">
        <v>0.11462816898506201</v>
      </c>
      <c r="D24" s="354">
        <v>0.59606646701854449</v>
      </c>
      <c r="E24" s="356">
        <v>0.3355947107537896</v>
      </c>
      <c r="F24" s="357">
        <v>0.31386529827419085</v>
      </c>
      <c r="G24" s="354">
        <v>0.64946000902798051</v>
      </c>
      <c r="H24" s="349"/>
      <c r="I24" s="355" t="e">
        <f>Г24-Д24</f>
        <v>#NAME?</v>
      </c>
      <c r="K24" s="340"/>
      <c r="L24" s="339">
        <v>0.48143829803348248</v>
      </c>
      <c r="M24" s="339">
        <v>0.11462816898506201</v>
      </c>
      <c r="N24" s="339">
        <v>0.59606646701854449</v>
      </c>
      <c r="O24" s="339">
        <v>0.3355947107537896</v>
      </c>
      <c r="P24" s="339">
        <v>0.31386529827419085</v>
      </c>
      <c r="Q24" s="339">
        <v>0.64946000902798051</v>
      </c>
      <c r="S24" s="345"/>
      <c r="T24" s="365">
        <v>48.143829803348247</v>
      </c>
      <c r="U24" s="365">
        <v>11.462816898506201</v>
      </c>
      <c r="V24" s="365">
        <v>59.606646701854451</v>
      </c>
      <c r="W24" s="365">
        <v>33.559471075378958</v>
      </c>
      <c r="X24" s="365">
        <v>31.386529827419086</v>
      </c>
      <c r="Y24" s="365">
        <v>64.946000902798048</v>
      </c>
    </row>
    <row r="25" spans="1:25" x14ac:dyDescent="0.25">
      <c r="A25" s="343"/>
      <c r="B25" s="356">
        <v>0.50658967373900754</v>
      </c>
      <c r="C25" s="357">
        <v>0.11887188731040686</v>
      </c>
      <c r="D25" s="354">
        <v>0.62546156104941442</v>
      </c>
      <c r="E25" s="356">
        <v>0.34579665810591897</v>
      </c>
      <c r="F25" s="357">
        <v>0.31230657680633606</v>
      </c>
      <c r="G25" s="354">
        <v>0.65810323491225509</v>
      </c>
      <c r="H25" s="349"/>
      <c r="I25" s="355" t="e">
        <f>Г25-Д25</f>
        <v>#NAME?</v>
      </c>
      <c r="K25" s="340"/>
      <c r="L25" s="339">
        <v>0.50658967373900754</v>
      </c>
      <c r="M25" s="339">
        <v>0.11887188731040686</v>
      </c>
      <c r="N25" s="339">
        <v>0.62546156104941442</v>
      </c>
      <c r="O25" s="339">
        <v>0.34579665810591897</v>
      </c>
      <c r="P25" s="339">
        <v>0.31230657680633606</v>
      </c>
      <c r="Q25" s="339">
        <v>0.65810323491225509</v>
      </c>
      <c r="S25" s="345"/>
      <c r="T25" s="365">
        <v>50.658967373900751</v>
      </c>
      <c r="U25" s="365">
        <v>11.887188731040686</v>
      </c>
      <c r="V25" s="365">
        <v>62.546156104941439</v>
      </c>
      <c r="W25" s="365">
        <v>34.579665810591898</v>
      </c>
      <c r="X25" s="365">
        <v>31.230657680633605</v>
      </c>
      <c r="Y25" s="365">
        <v>65.810323491225503</v>
      </c>
    </row>
    <row r="26" spans="1:25" ht="24" x14ac:dyDescent="0.25">
      <c r="A26" s="344" t="s">
        <v>357</v>
      </c>
      <c r="B26" s="356">
        <v>0.48251827226677685</v>
      </c>
      <c r="C26" s="357">
        <v>0.10127031924859255</v>
      </c>
      <c r="D26" s="354">
        <v>0.58378859151536944</v>
      </c>
      <c r="E26" s="356">
        <v>0.33237522054892776</v>
      </c>
      <c r="F26" s="357">
        <v>0.27436914775909549</v>
      </c>
      <c r="G26" s="354">
        <v>0.60674436830802325</v>
      </c>
      <c r="H26" s="349"/>
      <c r="I26" s="355" t="e">
        <f>Г26-Д26</f>
        <v>#NAME?</v>
      </c>
      <c r="K26" s="340">
        <v>0.58333333333333337</v>
      </c>
      <c r="L26" s="339">
        <v>0.48251827226677685</v>
      </c>
      <c r="M26" s="339">
        <v>0.10127031924859255</v>
      </c>
      <c r="N26" s="339">
        <v>0.58378859151536944</v>
      </c>
      <c r="O26" s="339">
        <v>0.33237522054892776</v>
      </c>
      <c r="P26" s="339">
        <v>0.27436914775909549</v>
      </c>
      <c r="Q26" s="339">
        <v>0.60674436830802325</v>
      </c>
      <c r="S26" s="345">
        <v>0.58333333333333337</v>
      </c>
      <c r="T26" s="365">
        <v>48.251827226677683</v>
      </c>
      <c r="U26" s="365">
        <v>10.127031924859255</v>
      </c>
      <c r="V26" s="365">
        <v>58.378859151536943</v>
      </c>
      <c r="W26" s="365">
        <v>33.237522054892779</v>
      </c>
      <c r="X26" s="365">
        <v>27.43691477590955</v>
      </c>
      <c r="Y26" s="365">
        <v>60.674436830802328</v>
      </c>
    </row>
    <row r="27" spans="1:25" x14ac:dyDescent="0.25">
      <c r="A27" s="343"/>
      <c r="B27" s="356">
        <v>0.46466860590457626</v>
      </c>
      <c r="C27" s="357">
        <v>0.10909725555334832</v>
      </c>
      <c r="D27" s="354">
        <v>0.57376586145792463</v>
      </c>
      <c r="E27" s="356">
        <v>0.31284738415848012</v>
      </c>
      <c r="F27" s="357">
        <v>0.27593111958672017</v>
      </c>
      <c r="G27" s="354">
        <v>0.58877850374520024</v>
      </c>
      <c r="H27" s="349"/>
      <c r="I27" s="355" t="e">
        <f>Г27-Д27</f>
        <v>#NAME?</v>
      </c>
      <c r="K27" s="340"/>
      <c r="L27" s="339">
        <v>0.46466860590457626</v>
      </c>
      <c r="M27" s="339">
        <v>0.10909725555334832</v>
      </c>
      <c r="N27" s="339">
        <v>0.57376586145792463</v>
      </c>
      <c r="O27" s="339">
        <v>0.31284738415848012</v>
      </c>
      <c r="P27" s="339">
        <v>0.27593111958672017</v>
      </c>
      <c r="Q27" s="339">
        <v>0.58877850374520024</v>
      </c>
      <c r="S27" s="345"/>
      <c r="T27" s="365">
        <v>46.466860590457628</v>
      </c>
      <c r="U27" s="365">
        <v>10.909725555334832</v>
      </c>
      <c r="V27" s="365">
        <v>57.376586145792466</v>
      </c>
      <c r="W27" s="365">
        <v>31.284738415848011</v>
      </c>
      <c r="X27" s="365">
        <v>27.593111958672019</v>
      </c>
      <c r="Y27" s="365">
        <v>58.877850374520023</v>
      </c>
    </row>
    <row r="28" spans="1:25" x14ac:dyDescent="0.25">
      <c r="A28" s="343"/>
      <c r="B28" s="356">
        <v>0.42840226664237241</v>
      </c>
      <c r="C28" s="357">
        <v>0.10287241936190566</v>
      </c>
      <c r="D28" s="354">
        <v>0.53127468600427807</v>
      </c>
      <c r="E28" s="356">
        <v>0.28563113892028147</v>
      </c>
      <c r="F28" s="357">
        <v>0.24224863720580458</v>
      </c>
      <c r="G28" s="354">
        <v>0.52787977612608605</v>
      </c>
      <c r="H28" s="349"/>
      <c r="I28" s="355" t="e">
        <f>Г28-Д28</f>
        <v>#NAME?</v>
      </c>
      <c r="K28" s="340"/>
      <c r="L28" s="339">
        <v>0.42840226664237241</v>
      </c>
      <c r="M28" s="339">
        <v>0.10287241936190566</v>
      </c>
      <c r="N28" s="339">
        <v>0.53127468600427807</v>
      </c>
      <c r="O28" s="339">
        <v>0.28563113892028147</v>
      </c>
      <c r="P28" s="339">
        <v>0.24224863720580458</v>
      </c>
      <c r="Q28" s="339">
        <v>0.52787977612608605</v>
      </c>
      <c r="S28" s="345"/>
      <c r="T28" s="365">
        <v>42.840226664237242</v>
      </c>
      <c r="U28" s="365">
        <v>10.287241936190567</v>
      </c>
      <c r="V28" s="365">
        <v>53.127468600427804</v>
      </c>
      <c r="W28" s="365">
        <v>28.563113892028149</v>
      </c>
      <c r="X28" s="365">
        <v>24.224863720580458</v>
      </c>
      <c r="Y28" s="365">
        <v>52.787977612608607</v>
      </c>
    </row>
    <row r="29" spans="1:25" x14ac:dyDescent="0.25">
      <c r="A29" s="343"/>
      <c r="B29" s="356">
        <v>0.34200719693256898</v>
      </c>
      <c r="C29" s="357">
        <v>0.12362843812389274</v>
      </c>
      <c r="D29" s="354">
        <v>0.46563563505646172</v>
      </c>
      <c r="E29" s="356">
        <v>0.23322615812867517</v>
      </c>
      <c r="F29" s="357">
        <v>0.24686567876817683</v>
      </c>
      <c r="G29" s="354">
        <v>0.48009183689685198</v>
      </c>
      <c r="H29" s="349"/>
      <c r="I29" s="355" t="e">
        <f>Г29-Д29</f>
        <v>#NAME?</v>
      </c>
      <c r="J29" s="340" t="e">
        <f>Ф29-Б29</f>
        <v>#NAME?</v>
      </c>
      <c r="K29" s="340"/>
      <c r="L29" s="339">
        <v>0.34200719693256898</v>
      </c>
      <c r="M29" s="339">
        <v>0.12362843812389274</v>
      </c>
      <c r="N29" s="339">
        <v>0.46563563505646172</v>
      </c>
      <c r="O29" s="339">
        <v>0.23322615812867517</v>
      </c>
      <c r="P29" s="339">
        <v>0.24686567876817683</v>
      </c>
      <c r="Q29" s="339">
        <v>0.48009183689685198</v>
      </c>
      <c r="S29" s="345"/>
      <c r="T29" s="365">
        <v>34.2007196932569</v>
      </c>
      <c r="U29" s="365">
        <v>12.362843812389274</v>
      </c>
      <c r="V29" s="365">
        <v>46.563563505646172</v>
      </c>
      <c r="W29" s="365">
        <v>23.322615812867518</v>
      </c>
      <c r="X29" s="365">
        <v>24.686567876817683</v>
      </c>
      <c r="Y29" s="365">
        <v>48.009183689685194</v>
      </c>
    </row>
    <row r="30" spans="1:25" x14ac:dyDescent="0.25">
      <c r="A30" s="343" t="s">
        <v>3</v>
      </c>
      <c r="B30" s="356">
        <v>0.30202677462901872</v>
      </c>
      <c r="C30" s="357">
        <v>0.14728560665399912</v>
      </c>
      <c r="D30" s="354">
        <v>0.44931238128301787</v>
      </c>
      <c r="E30" s="356">
        <v>0.19515021753588971</v>
      </c>
      <c r="F30" s="357">
        <v>0.26145391090018527</v>
      </c>
      <c r="G30" s="354">
        <v>0.45660412843607501</v>
      </c>
      <c r="H30" s="349"/>
      <c r="I30" s="355" t="e">
        <f>Г30-Д30</f>
        <v>#NAME?</v>
      </c>
      <c r="J30" s="340" t="e">
        <f>Ф30-Б30</f>
        <v>#NAME?</v>
      </c>
      <c r="K30" s="340" t="s">
        <v>3</v>
      </c>
      <c r="L30" s="339">
        <v>0.30202677462901872</v>
      </c>
      <c r="M30" s="339">
        <v>0.14728560665399912</v>
      </c>
      <c r="N30" s="339">
        <v>0.44931238128301787</v>
      </c>
      <c r="O30" s="339">
        <v>0.19515021753588971</v>
      </c>
      <c r="P30" s="339">
        <v>0.26145391090018527</v>
      </c>
      <c r="Q30" s="339">
        <v>0.45660412843607501</v>
      </c>
      <c r="S30" s="345" t="s">
        <v>3</v>
      </c>
      <c r="T30" s="365">
        <v>30.202677462901871</v>
      </c>
      <c r="U30" s="365">
        <v>14.728560665399911</v>
      </c>
      <c r="V30" s="365">
        <v>44.931238128301786</v>
      </c>
      <c r="W30" s="365">
        <v>19.515021753588972</v>
      </c>
      <c r="X30" s="365">
        <v>26.145391090018528</v>
      </c>
      <c r="Y30" s="365">
        <v>45.660412843607503</v>
      </c>
    </row>
    <row r="31" spans="1:25" x14ac:dyDescent="0.25">
      <c r="A31" s="343"/>
      <c r="B31" s="356">
        <v>0.25407776701934098</v>
      </c>
      <c r="C31" s="357">
        <v>0.15331270766450689</v>
      </c>
      <c r="D31" s="354">
        <v>0.40739047468384787</v>
      </c>
      <c r="E31" s="356">
        <v>0.16301159670392951</v>
      </c>
      <c r="F31" s="357">
        <v>0.25544483382429278</v>
      </c>
      <c r="G31" s="354">
        <v>0.41845643052822229</v>
      </c>
      <c r="H31" s="349"/>
      <c r="I31" s="355" t="e">
        <f>Г31-Д31</f>
        <v>#NAME?</v>
      </c>
      <c r="J31" s="340" t="e">
        <f>Ф31-Б31</f>
        <v>#NAME?</v>
      </c>
      <c r="K31" s="340"/>
      <c r="L31" s="339">
        <v>0.25407776701934098</v>
      </c>
      <c r="M31" s="339">
        <v>0.15331270766450689</v>
      </c>
      <c r="N31" s="339">
        <v>0.40739047468384787</v>
      </c>
      <c r="O31" s="339">
        <v>0.16301159670392951</v>
      </c>
      <c r="P31" s="339">
        <v>0.25544483382429278</v>
      </c>
      <c r="Q31" s="339">
        <v>0.41845643052822229</v>
      </c>
      <c r="S31" s="345"/>
      <c r="T31" s="365">
        <v>25.407776701934097</v>
      </c>
      <c r="U31" s="365">
        <v>15.33127076645069</v>
      </c>
      <c r="V31" s="365">
        <v>40.73904746838479</v>
      </c>
      <c r="W31" s="365">
        <v>16.301159670392952</v>
      </c>
      <c r="X31" s="365">
        <v>25.544483382429277</v>
      </c>
      <c r="Y31" s="365">
        <v>41.845643052822226</v>
      </c>
    </row>
    <row r="32" spans="1:25" x14ac:dyDescent="0.25">
      <c r="A32" s="343"/>
      <c r="B32" s="356">
        <v>0.21508791329227098</v>
      </c>
      <c r="C32" s="357">
        <v>0.1475851914194623</v>
      </c>
      <c r="D32" s="354">
        <v>0.36267310471173331</v>
      </c>
      <c r="E32" s="356">
        <v>0.14016061281660316</v>
      </c>
      <c r="F32" s="357">
        <v>0.28328020403816634</v>
      </c>
      <c r="G32" s="354">
        <v>0.42344081685476953</v>
      </c>
      <c r="H32" s="349"/>
      <c r="I32" s="355" t="e">
        <f>Г32-Д32</f>
        <v>#NAME?</v>
      </c>
      <c r="J32" s="340" t="e">
        <f>Ф32-Б32</f>
        <v>#NAME?</v>
      </c>
      <c r="K32" s="340"/>
      <c r="L32" s="339">
        <v>0.21508791329227098</v>
      </c>
      <c r="M32" s="339">
        <v>0.1475851914194623</v>
      </c>
      <c r="N32" s="339">
        <v>0.36267310471173331</v>
      </c>
      <c r="O32" s="339">
        <v>0.14016061281660316</v>
      </c>
      <c r="P32" s="339">
        <v>0.28328020403816634</v>
      </c>
      <c r="Q32" s="339">
        <v>0.42344081685476953</v>
      </c>
      <c r="S32" s="345"/>
      <c r="T32" s="365">
        <v>21.508791329227098</v>
      </c>
      <c r="U32" s="365">
        <v>14.75851914194623</v>
      </c>
      <c r="V32" s="365">
        <v>36.267310471173332</v>
      </c>
      <c r="W32" s="365">
        <v>14.016061281660317</v>
      </c>
      <c r="X32" s="365">
        <v>28.328020403816634</v>
      </c>
      <c r="Y32" s="365">
        <v>42.344081685476951</v>
      </c>
    </row>
    <row r="33" spans="1:25" x14ac:dyDescent="0.25">
      <c r="A33" s="343"/>
      <c r="B33" s="356">
        <v>0.18960008064481415</v>
      </c>
      <c r="C33" s="357">
        <v>0.149575049293035</v>
      </c>
      <c r="D33" s="354">
        <v>0.33917512993784915</v>
      </c>
      <c r="E33" s="356">
        <v>0.12434379754925154</v>
      </c>
      <c r="F33" s="357">
        <v>0.26196076412926234</v>
      </c>
      <c r="G33" s="354">
        <v>0.3863045616785139</v>
      </c>
      <c r="H33" s="349"/>
      <c r="I33" s="355" t="e">
        <f>Г33-Д33</f>
        <v>#NAME?</v>
      </c>
      <c r="J33" s="340" t="e">
        <f>Ф33-Б33</f>
        <v>#NAME?</v>
      </c>
      <c r="K33" s="340"/>
      <c r="L33" s="339">
        <v>0.18960008064481415</v>
      </c>
      <c r="M33" s="339">
        <v>0.149575049293035</v>
      </c>
      <c r="N33" s="339">
        <v>0.33917512993784915</v>
      </c>
      <c r="O33" s="339">
        <v>0.12434379754925154</v>
      </c>
      <c r="P33" s="339">
        <v>0.26196076412926234</v>
      </c>
      <c r="Q33" s="339">
        <v>0.3863045616785139</v>
      </c>
      <c r="S33" s="345"/>
      <c r="T33" s="365">
        <v>18.960008064481414</v>
      </c>
      <c r="U33" s="365">
        <v>14.9575049293035</v>
      </c>
      <c r="V33" s="365">
        <v>33.917512993784918</v>
      </c>
      <c r="W33" s="365">
        <v>12.434379754925153</v>
      </c>
      <c r="X33" s="365">
        <v>26.196076412926235</v>
      </c>
      <c r="Y33" s="365">
        <v>38.630456167851392</v>
      </c>
    </row>
    <row r="34" spans="1:25" ht="24" x14ac:dyDescent="0.25">
      <c r="A34" s="344" t="s">
        <v>268</v>
      </c>
      <c r="B34" s="356">
        <v>0.15387723921728946</v>
      </c>
      <c r="C34" s="357">
        <v>0.18211589783256954</v>
      </c>
      <c r="D34" s="354">
        <v>0.335993137049859</v>
      </c>
      <c r="E34" s="356">
        <v>9.5527869677189944E-2</v>
      </c>
      <c r="F34" s="357">
        <v>0.28464661779302358</v>
      </c>
      <c r="G34" s="354">
        <v>0.38017448747021354</v>
      </c>
      <c r="H34" s="349"/>
      <c r="I34" s="355" t="e">
        <f>Г34-Д34</f>
        <v>#NAME?</v>
      </c>
      <c r="J34" s="340" t="e">
        <f>Ф34-Б34</f>
        <v>#NAME?</v>
      </c>
      <c r="K34" s="340">
        <v>0.75</v>
      </c>
      <c r="L34" s="339">
        <v>0.15387723921728946</v>
      </c>
      <c r="M34" s="339">
        <v>0.18211589783256954</v>
      </c>
      <c r="N34" s="339">
        <v>0.335993137049859</v>
      </c>
      <c r="O34" s="339">
        <v>9.5527869677189944E-2</v>
      </c>
      <c r="P34" s="339">
        <v>0.28464661779302358</v>
      </c>
      <c r="Q34" s="339">
        <v>0.38017448747021354</v>
      </c>
      <c r="S34" s="345">
        <v>0.75</v>
      </c>
      <c r="T34" s="365">
        <v>15.387723921728947</v>
      </c>
      <c r="U34" s="365">
        <v>18.211589783256954</v>
      </c>
      <c r="V34" s="365">
        <v>33.599313704985903</v>
      </c>
      <c r="W34" s="365">
        <v>9.552786967718994</v>
      </c>
      <c r="X34" s="365">
        <v>28.464661779302357</v>
      </c>
      <c r="Y34" s="365">
        <v>38.017448747021355</v>
      </c>
    </row>
    <row r="35" spans="1:25" x14ac:dyDescent="0.25">
      <c r="A35" s="343"/>
      <c r="B35" s="356">
        <v>0.14281383090052741</v>
      </c>
      <c r="C35" s="357">
        <v>0.16822883735641356</v>
      </c>
      <c r="D35" s="354">
        <v>0.31104266825694094</v>
      </c>
      <c r="E35" s="356">
        <v>9.275295857408955E-2</v>
      </c>
      <c r="F35" s="357">
        <v>0.27501042142185039</v>
      </c>
      <c r="G35" s="354">
        <v>0.36776337999593994</v>
      </c>
      <c r="H35" s="358">
        <v>18.3</v>
      </c>
      <c r="I35" s="355" t="e">
        <f>Г35-Д35</f>
        <v>#NAME?</v>
      </c>
      <c r="J35" s="340" t="e">
        <f>Ф35-Б35</f>
        <v>#NAME?</v>
      </c>
      <c r="K35" s="340"/>
      <c r="L35" s="339">
        <v>0.14281383090052741</v>
      </c>
      <c r="M35" s="339">
        <v>0.16822883735641356</v>
      </c>
      <c r="N35" s="339">
        <v>0.31104266825694094</v>
      </c>
      <c r="O35" s="339">
        <v>9.275295857408955E-2</v>
      </c>
      <c r="P35" s="339">
        <v>0.27501042142185039</v>
      </c>
      <c r="Q35" s="339">
        <v>0.36776337999593994</v>
      </c>
      <c r="S35" s="345"/>
      <c r="T35" s="365">
        <v>14.28138309005274</v>
      </c>
      <c r="U35" s="365">
        <v>16.822883735641355</v>
      </c>
      <c r="V35" s="365">
        <v>31.104266825694094</v>
      </c>
      <c r="W35" s="365">
        <v>9.2752958574089543</v>
      </c>
      <c r="X35" s="365">
        <v>27.501042142185039</v>
      </c>
      <c r="Y35" s="365">
        <v>36.776337999593991</v>
      </c>
    </row>
    <row r="36" spans="1:25" x14ac:dyDescent="0.25">
      <c r="A36" s="343"/>
      <c r="B36" s="356">
        <v>0.10074177693391237</v>
      </c>
      <c r="C36" s="357">
        <v>0.13791750040624015</v>
      </c>
      <c r="D36" s="354">
        <v>0.23865927734015252</v>
      </c>
      <c r="E36" s="356">
        <v>7.3009265086739689E-2</v>
      </c>
      <c r="F36" s="357">
        <v>0.24878204525299336</v>
      </c>
      <c r="G36" s="354">
        <v>0.32179131033973307</v>
      </c>
      <c r="H36" s="349"/>
      <c r="I36" s="355" t="e">
        <f>Г36-Д36</f>
        <v>#NAME?</v>
      </c>
      <c r="J36" s="340" t="e">
        <f>Ф36-Б36</f>
        <v>#NAME?</v>
      </c>
      <c r="K36" s="340"/>
      <c r="L36" s="339">
        <v>0.10074177693391237</v>
      </c>
      <c r="M36" s="339">
        <v>0.13791750040624015</v>
      </c>
      <c r="N36" s="339">
        <v>0.23865927734015252</v>
      </c>
      <c r="O36" s="339">
        <v>7.3009265086739689E-2</v>
      </c>
      <c r="P36" s="339">
        <v>0.24878204525299336</v>
      </c>
      <c r="Q36" s="339">
        <v>0.32179131033973307</v>
      </c>
      <c r="S36" s="345"/>
      <c r="T36" s="365">
        <v>10.074177693391237</v>
      </c>
      <c r="U36" s="365">
        <v>13.791750040624015</v>
      </c>
      <c r="V36" s="365">
        <v>23.865927734015251</v>
      </c>
      <c r="W36" s="365">
        <v>7.3009265086739692</v>
      </c>
      <c r="X36" s="365">
        <v>24.878204525299335</v>
      </c>
      <c r="Y36" s="365">
        <v>32.179131033973306</v>
      </c>
    </row>
    <row r="37" spans="1:25" x14ac:dyDescent="0.25">
      <c r="A37" s="343"/>
      <c r="B37" s="356">
        <v>9.1540934716929728E-2</v>
      </c>
      <c r="C37" s="357">
        <v>0.11224219142336983</v>
      </c>
      <c r="D37" s="354">
        <v>0.20378312614029956</v>
      </c>
      <c r="E37" s="356">
        <v>6.7575966991157352E-2</v>
      </c>
      <c r="F37" s="357">
        <v>0.24168118178004852</v>
      </c>
      <c r="G37" s="354">
        <v>0.30925714877120586</v>
      </c>
      <c r="H37" s="358">
        <v>19.3</v>
      </c>
      <c r="I37" s="355" t="e">
        <f>Г37-Д37</f>
        <v>#NAME?</v>
      </c>
      <c r="J37" s="340" t="e">
        <f>Ф37-Б37</f>
        <v>#NAME?</v>
      </c>
      <c r="K37" s="340"/>
      <c r="L37" s="339">
        <v>9.1540934716929728E-2</v>
      </c>
      <c r="M37" s="339">
        <v>0.11224219142336983</v>
      </c>
      <c r="N37" s="339">
        <v>0.20378312614029956</v>
      </c>
      <c r="O37" s="339">
        <v>6.7575966991157352E-2</v>
      </c>
      <c r="P37" s="339">
        <v>0.24168118178004852</v>
      </c>
      <c r="Q37" s="339">
        <v>0.30925714877120586</v>
      </c>
      <c r="S37" s="345"/>
      <c r="T37" s="365">
        <v>9.1540934716929723</v>
      </c>
      <c r="U37" s="365">
        <v>11.224219142336983</v>
      </c>
      <c r="V37" s="365">
        <v>20.378312614029955</v>
      </c>
      <c r="W37" s="365">
        <v>6.7575966991157355</v>
      </c>
      <c r="X37" s="365">
        <v>24.168118178004853</v>
      </c>
      <c r="Y37" s="365">
        <v>30.925714877120587</v>
      </c>
    </row>
    <row r="38" spans="1:25" ht="24" x14ac:dyDescent="0.25">
      <c r="A38" s="344" t="s">
        <v>269</v>
      </c>
      <c r="B38" s="356">
        <v>7.3819857646004253E-2</v>
      </c>
      <c r="C38" s="357">
        <v>7.1569483099732725E-2</v>
      </c>
      <c r="D38" s="354">
        <v>0.14538934074573698</v>
      </c>
      <c r="E38" s="356">
        <v>6.3279834210882985E-2</v>
      </c>
      <c r="F38" s="357">
        <v>0.20029702805491376</v>
      </c>
      <c r="G38" s="354">
        <v>0.26357686226579674</v>
      </c>
      <c r="H38" s="358">
        <v>0.2</v>
      </c>
      <c r="I38" s="355" t="e">
        <f>Г38-Д38</f>
        <v>#NAME?</v>
      </c>
      <c r="J38" s="340" t="e">
        <f>Ф38-Б38</f>
        <v>#NAME?</v>
      </c>
      <c r="K38" s="340">
        <v>0.83333333333333337</v>
      </c>
      <c r="L38" s="339">
        <v>7.3819857646004253E-2</v>
      </c>
      <c r="M38" s="339">
        <v>7.1569483099732725E-2</v>
      </c>
      <c r="N38" s="339">
        <v>0.14538934074573698</v>
      </c>
      <c r="O38" s="339">
        <v>6.3279834210882985E-2</v>
      </c>
      <c r="P38" s="339">
        <v>0.20029702805491376</v>
      </c>
      <c r="Q38" s="339">
        <v>0.26357686226579674</v>
      </c>
      <c r="S38" s="345">
        <v>0.83333333333333337</v>
      </c>
      <c r="T38" s="365">
        <v>7.381985764600425</v>
      </c>
      <c r="U38" s="365">
        <v>7.1569483099732727</v>
      </c>
      <c r="V38" s="365">
        <v>14.538934074573698</v>
      </c>
      <c r="W38" s="365">
        <v>6.3279834210882981</v>
      </c>
      <c r="X38" s="365">
        <v>20.029702805491375</v>
      </c>
      <c r="Y38" s="365">
        <v>26.357686226579673</v>
      </c>
    </row>
    <row r="39" spans="1:25" x14ac:dyDescent="0.25">
      <c r="A39" s="343"/>
      <c r="B39" s="356">
        <v>6.3303907028808393E-2</v>
      </c>
      <c r="C39" s="357">
        <v>6.2816665969414098E-2</v>
      </c>
      <c r="D39" s="354">
        <v>0.12612057299822249</v>
      </c>
      <c r="E39" s="356">
        <v>5.8831713896434351E-2</v>
      </c>
      <c r="F39" s="357">
        <v>0.16974050042653352</v>
      </c>
      <c r="G39" s="354">
        <v>0.22857221432296787</v>
      </c>
      <c r="H39" s="359">
        <v>20.3</v>
      </c>
      <c r="I39" s="355" t="e">
        <f>Г39-Д39</f>
        <v>#NAME?</v>
      </c>
      <c r="J39" s="340" t="e">
        <f>Ф39-Б39</f>
        <v>#NAME?</v>
      </c>
      <c r="K39" s="340"/>
      <c r="L39" s="339">
        <v>6.3303907028808393E-2</v>
      </c>
      <c r="M39" s="339">
        <v>6.2816665969414098E-2</v>
      </c>
      <c r="N39" s="339">
        <v>0.12612057299822249</v>
      </c>
      <c r="O39" s="339">
        <v>5.8831713896434351E-2</v>
      </c>
      <c r="P39" s="339">
        <v>0.16974050042653352</v>
      </c>
      <c r="Q39" s="339">
        <v>0.22857221432296787</v>
      </c>
      <c r="S39" s="345"/>
      <c r="T39" s="365">
        <v>6.3303907028808393</v>
      </c>
      <c r="U39" s="365">
        <v>6.2816665969414096</v>
      </c>
      <c r="V39" s="365">
        <v>12.612057299822249</v>
      </c>
      <c r="W39" s="365">
        <v>5.8831713896434348</v>
      </c>
      <c r="X39" s="365">
        <v>16.974050042653353</v>
      </c>
      <c r="Y39" s="365">
        <v>22.857221432296786</v>
      </c>
    </row>
    <row r="40" spans="1:25" x14ac:dyDescent="0.25">
      <c r="A40" s="343"/>
      <c r="B40" s="356">
        <v>5.6484279164338028E-2</v>
      </c>
      <c r="C40" s="357">
        <v>4.167938839152343E-2</v>
      </c>
      <c r="D40" s="354">
        <v>9.816366755586145E-2</v>
      </c>
      <c r="E40" s="356">
        <v>4.7796910526033125E-2</v>
      </c>
      <c r="F40" s="357">
        <v>0.1303883748875575</v>
      </c>
      <c r="G40" s="354">
        <v>0.17818528541359063</v>
      </c>
      <c r="H40" s="349"/>
      <c r="I40" s="355" t="e">
        <f>Г40-Д40</f>
        <v>#NAME?</v>
      </c>
      <c r="J40" s="340" t="e">
        <f>Ф40-Б40</f>
        <v>#NAME?</v>
      </c>
      <c r="K40" s="340"/>
      <c r="L40" s="339">
        <v>5.6484279164338028E-2</v>
      </c>
      <c r="M40" s="339">
        <v>4.167938839152343E-2</v>
      </c>
      <c r="N40" s="339">
        <v>9.816366755586145E-2</v>
      </c>
      <c r="O40" s="339">
        <v>4.7796910526033125E-2</v>
      </c>
      <c r="P40" s="339">
        <v>0.1303883748875575</v>
      </c>
      <c r="Q40" s="339">
        <v>0.17818528541359063</v>
      </c>
      <c r="S40" s="345"/>
      <c r="T40" s="365">
        <v>5.6484279164338025</v>
      </c>
      <c r="U40" s="365">
        <v>4.1679388391523426</v>
      </c>
      <c r="V40" s="365">
        <v>9.8163667555861451</v>
      </c>
      <c r="W40" s="365">
        <v>4.7796910526033125</v>
      </c>
      <c r="X40" s="365">
        <v>13.03883748875575</v>
      </c>
      <c r="Y40" s="365">
        <v>17.818528541359065</v>
      </c>
    </row>
    <row r="41" spans="1:25" x14ac:dyDescent="0.25">
      <c r="A41" s="343"/>
      <c r="B41" s="356">
        <v>5.3455381546174047E-2</v>
      </c>
      <c r="C41" s="357">
        <v>2.913789532558049E-2</v>
      </c>
      <c r="D41" s="354">
        <v>8.2593276871754537E-2</v>
      </c>
      <c r="E41" s="356">
        <v>5.140251966369408E-2</v>
      </c>
      <c r="F41" s="357">
        <v>0.10192949297808004</v>
      </c>
      <c r="G41" s="354">
        <v>0.15333201264177412</v>
      </c>
      <c r="H41" s="359">
        <v>21.3</v>
      </c>
      <c r="I41" s="355" t="e">
        <f>Г41-Д41</f>
        <v>#NAME?</v>
      </c>
      <c r="J41" s="340" t="e">
        <f>Ф41-Б41</f>
        <v>#NAME?</v>
      </c>
      <c r="K41" s="340"/>
      <c r="L41" s="339">
        <v>5.3455381546174047E-2</v>
      </c>
      <c r="M41" s="339">
        <v>2.913789532558049E-2</v>
      </c>
      <c r="N41" s="339">
        <v>8.2593276871754537E-2</v>
      </c>
      <c r="O41" s="339">
        <v>5.140251966369408E-2</v>
      </c>
      <c r="P41" s="339">
        <v>0.10192949297808004</v>
      </c>
      <c r="Q41" s="339">
        <v>0.15333201264177412</v>
      </c>
      <c r="S41" s="345"/>
      <c r="T41" s="365">
        <v>5.3455381546174046</v>
      </c>
      <c r="U41" s="365">
        <v>2.9137895325580492</v>
      </c>
      <c r="V41" s="365">
        <v>8.2593276871754533</v>
      </c>
      <c r="W41" s="365">
        <v>5.1402519663694077</v>
      </c>
      <c r="X41" s="365">
        <v>10.192949297808005</v>
      </c>
      <c r="Y41" s="365">
        <v>15.333201264177413</v>
      </c>
    </row>
    <row r="42" spans="1:25" ht="24" x14ac:dyDescent="0.25">
      <c r="A42" s="344" t="s">
        <v>358</v>
      </c>
      <c r="B42" s="356">
        <v>4.7414223411766848E-2</v>
      </c>
      <c r="C42" s="357">
        <v>2.259809411521576E-2</v>
      </c>
      <c r="D42" s="354">
        <v>7.0012317526982615E-2</v>
      </c>
      <c r="E42" s="356">
        <v>4.3716150429263037E-2</v>
      </c>
      <c r="F42" s="357">
        <v>6.6497229123768389E-2</v>
      </c>
      <c r="G42" s="354">
        <v>0.11021337955303143</v>
      </c>
      <c r="H42" s="349"/>
      <c r="I42" s="355" t="e">
        <f>Г42-Д42</f>
        <v>#NAME?</v>
      </c>
      <c r="J42" s="340" t="e">
        <f>Ф42-Б42</f>
        <v>#NAME?</v>
      </c>
      <c r="K42" s="340">
        <v>0.91666666666666663</v>
      </c>
      <c r="L42" s="339">
        <v>4.7414223411766848E-2</v>
      </c>
      <c r="M42" s="339">
        <v>2.259809411521576E-2</v>
      </c>
      <c r="N42" s="339">
        <v>7.0012317526982615E-2</v>
      </c>
      <c r="O42" s="339">
        <v>4.3716150429263037E-2</v>
      </c>
      <c r="P42" s="339">
        <v>6.6497229123768389E-2</v>
      </c>
      <c r="Q42" s="339">
        <v>0.11021337955303143</v>
      </c>
      <c r="S42" s="345">
        <v>0.91666666666666663</v>
      </c>
      <c r="T42" s="365">
        <v>4.7414223411766852</v>
      </c>
      <c r="U42" s="365">
        <v>2.2598094115215761</v>
      </c>
      <c r="V42" s="365">
        <v>7.0012317526982617</v>
      </c>
      <c r="W42" s="365">
        <v>4.3716150429263037</v>
      </c>
      <c r="X42" s="365">
        <v>6.6497229123768387</v>
      </c>
      <c r="Y42" s="365">
        <v>11.021337955303142</v>
      </c>
    </row>
    <row r="43" spans="1:25" x14ac:dyDescent="0.25">
      <c r="A43" s="343"/>
      <c r="B43" s="356">
        <v>3.1107180355332918E-2</v>
      </c>
      <c r="C43" s="357">
        <v>1.6545857960732484E-2</v>
      </c>
      <c r="D43" s="354">
        <v>4.7653038316065405E-2</v>
      </c>
      <c r="E43" s="356">
        <v>2.8392153559844112E-2</v>
      </c>
      <c r="F43" s="357">
        <v>3.9895634438313607E-2</v>
      </c>
      <c r="G43" s="354">
        <v>6.8287787998157712E-2</v>
      </c>
      <c r="H43" s="349"/>
      <c r="I43" s="355" t="e">
        <f>Г43-Д43</f>
        <v>#NAME?</v>
      </c>
      <c r="J43" s="340" t="e">
        <f>Ф43-Б43</f>
        <v>#NAME?</v>
      </c>
      <c r="K43" s="340"/>
      <c r="L43" s="339">
        <v>3.1107180355332918E-2</v>
      </c>
      <c r="M43" s="339">
        <v>1.6545857960732484E-2</v>
      </c>
      <c r="N43" s="339">
        <v>4.7653038316065405E-2</v>
      </c>
      <c r="O43" s="339">
        <v>2.8392153559844112E-2</v>
      </c>
      <c r="P43" s="339">
        <v>3.9895634438313607E-2</v>
      </c>
      <c r="Q43" s="339">
        <v>6.8287787998157712E-2</v>
      </c>
      <c r="S43" s="345"/>
      <c r="T43" s="365">
        <v>3.1107180355332917</v>
      </c>
      <c r="U43" s="365">
        <v>1.6545857960732484</v>
      </c>
      <c r="V43" s="365">
        <v>4.7653038316065404</v>
      </c>
      <c r="W43" s="365">
        <v>2.8392153559844111</v>
      </c>
      <c r="X43" s="365">
        <v>3.9895634438313605</v>
      </c>
      <c r="Y43" s="365">
        <v>6.8287787998157707</v>
      </c>
    </row>
    <row r="44" spans="1:25" x14ac:dyDescent="0.25">
      <c r="A44" s="343"/>
      <c r="B44" s="356">
        <v>2.1656028478841283E-2</v>
      </c>
      <c r="C44" s="357">
        <v>8.3912748824740598E-3</v>
      </c>
      <c r="D44" s="354">
        <v>3.0047303361315343E-2</v>
      </c>
      <c r="E44" s="356">
        <v>2.4390118774464974E-2</v>
      </c>
      <c r="F44" s="357">
        <v>2.5648320495707057E-2</v>
      </c>
      <c r="G44" s="354">
        <v>5.0038439270172028E-2</v>
      </c>
      <c r="H44" s="349"/>
      <c r="I44" s="355" t="e">
        <f>Г44-Д44</f>
        <v>#NAME?</v>
      </c>
      <c r="J44" s="340" t="e">
        <f>Ф44-Б44</f>
        <v>#NAME?</v>
      </c>
      <c r="K44" s="340"/>
      <c r="L44" s="339">
        <v>2.1656028478841283E-2</v>
      </c>
      <c r="M44" s="339">
        <v>8.3912748824740598E-3</v>
      </c>
      <c r="N44" s="339">
        <v>3.0047303361315343E-2</v>
      </c>
      <c r="O44" s="339">
        <v>2.4390118774464974E-2</v>
      </c>
      <c r="P44" s="339">
        <v>2.5648320495707057E-2</v>
      </c>
      <c r="Q44" s="339">
        <v>5.0038439270172028E-2</v>
      </c>
      <c r="S44" s="345"/>
      <c r="T44" s="365">
        <v>2.1656028478841285</v>
      </c>
      <c r="U44" s="365">
        <v>0.83912748824740602</v>
      </c>
      <c r="V44" s="365">
        <v>3.0047303361315345</v>
      </c>
      <c r="W44" s="365">
        <v>2.4390118774464975</v>
      </c>
      <c r="X44" s="365">
        <v>2.5648320495707058</v>
      </c>
      <c r="Y44" s="365">
        <v>5.0038439270172024</v>
      </c>
    </row>
    <row r="45" spans="1:25" x14ac:dyDescent="0.25">
      <c r="A45" s="343"/>
      <c r="B45" s="356">
        <v>1.8455690804384813E-2</v>
      </c>
      <c r="C45" s="357">
        <v>2.9277860388374904E-3</v>
      </c>
      <c r="D45" s="354">
        <v>2.1383476843222303E-2</v>
      </c>
      <c r="E45" s="356">
        <v>1.8182046099359465E-2</v>
      </c>
      <c r="F45" s="357">
        <v>1.2727544334337955E-2</v>
      </c>
      <c r="G45" s="354">
        <v>3.0909590433697419E-2</v>
      </c>
      <c r="H45" s="349"/>
      <c r="I45" s="355" t="e">
        <f>Г45-Д45</f>
        <v>#NAME?</v>
      </c>
      <c r="J45" s="340" t="e">
        <f>Ф45-Б45</f>
        <v>#NAME?</v>
      </c>
      <c r="K45" s="340"/>
      <c r="L45" s="339">
        <v>1.8455690804384813E-2</v>
      </c>
      <c r="M45" s="339">
        <v>2.9277860388374904E-3</v>
      </c>
      <c r="N45" s="339">
        <v>2.1383476843222303E-2</v>
      </c>
      <c r="O45" s="339">
        <v>1.8182046099359465E-2</v>
      </c>
      <c r="P45" s="339">
        <v>1.2727544334337955E-2</v>
      </c>
      <c r="Q45" s="339">
        <v>3.0909590433697419E-2</v>
      </c>
      <c r="S45" s="345"/>
      <c r="T45" s="365">
        <v>1.8455690804384812</v>
      </c>
      <c r="U45" s="365">
        <v>0.29277860388374904</v>
      </c>
      <c r="V45" s="365">
        <v>2.1383476843222304</v>
      </c>
      <c r="W45" s="365">
        <v>1.8182046099359466</v>
      </c>
      <c r="X45" s="365">
        <v>1.2727544334337955</v>
      </c>
      <c r="Y45" s="365">
        <v>3.0909590433697418</v>
      </c>
    </row>
    <row r="46" spans="1:25" x14ac:dyDescent="0.25">
      <c r="A46" s="343" t="s">
        <v>5</v>
      </c>
      <c r="B46" s="356">
        <v>1.7227120851958787E-2</v>
      </c>
      <c r="C46" s="357">
        <v>8.9383150717048864E-4</v>
      </c>
      <c r="D46" s="354">
        <v>1.8120952359129274E-2</v>
      </c>
      <c r="E46" s="356">
        <v>9.5826705662119867E-3</v>
      </c>
      <c r="F46" s="357">
        <v>4.7546937616346407E-3</v>
      </c>
      <c r="G46" s="354">
        <v>1.4337364327846627E-2</v>
      </c>
      <c r="H46" s="349"/>
      <c r="I46" s="355" t="e">
        <f>Г46-Д46</f>
        <v>#NAME?</v>
      </c>
      <c r="J46" s="340" t="e">
        <f>Ф46-Б46</f>
        <v>#NAME?</v>
      </c>
      <c r="K46" s="340" t="s">
        <v>5</v>
      </c>
      <c r="L46" s="339">
        <v>1.7227120851958787E-2</v>
      </c>
      <c r="M46" s="339">
        <v>8.9383150717048864E-4</v>
      </c>
      <c r="N46" s="339">
        <v>1.8120952359129274E-2</v>
      </c>
      <c r="O46" s="339">
        <v>9.5826705662119867E-3</v>
      </c>
      <c r="P46" s="339">
        <v>4.7546937616346407E-3</v>
      </c>
      <c r="Q46" s="339">
        <v>1.4337364327846627E-2</v>
      </c>
      <c r="S46" s="345" t="s">
        <v>5</v>
      </c>
      <c r="T46" s="365">
        <v>1.7227120851958786</v>
      </c>
      <c r="U46" s="365">
        <v>8.9383150717048859E-2</v>
      </c>
      <c r="V46" s="365">
        <v>1.8120952359129274</v>
      </c>
      <c r="W46" s="365">
        <v>0.95826705662119871</v>
      </c>
      <c r="X46" s="365">
        <v>0.47546937616346407</v>
      </c>
      <c r="Y46" s="365">
        <v>1.4337364327846627</v>
      </c>
    </row>
    <row r="47" spans="1:25" x14ac:dyDescent="0.25">
      <c r="A47" s="343"/>
      <c r="B47" s="356">
        <v>1.5724492333416825E-2</v>
      </c>
      <c r="C47" s="357">
        <v>5.3803880885094631E-4</v>
      </c>
      <c r="D47" s="354">
        <v>1.6262531142267771E-2</v>
      </c>
      <c r="E47" s="356">
        <v>7.1786758319578947E-3</v>
      </c>
      <c r="F47" s="357">
        <v>3.8847480125782418E-3</v>
      </c>
      <c r="G47" s="354">
        <v>1.1063423844536137E-2</v>
      </c>
      <c r="H47" s="349"/>
      <c r="I47" s="355" t="e">
        <f>Г47-Д47</f>
        <v>#NAME?</v>
      </c>
      <c r="K47" s="340"/>
      <c r="L47" s="339">
        <v>1.5724492333416825E-2</v>
      </c>
      <c r="M47" s="339">
        <v>5.3803880885094631E-4</v>
      </c>
      <c r="N47" s="339">
        <v>1.6262531142267771E-2</v>
      </c>
      <c r="O47" s="339">
        <v>7.1786758319578947E-3</v>
      </c>
      <c r="P47" s="339">
        <v>3.8847480125782418E-3</v>
      </c>
      <c r="Q47" s="339">
        <v>1.1063423844536137E-2</v>
      </c>
      <c r="S47" s="345"/>
      <c r="T47" s="365">
        <v>1.5724492333416824</v>
      </c>
      <c r="U47" s="365">
        <v>5.3803880885094628E-2</v>
      </c>
      <c r="V47" s="365">
        <v>1.6262531142267771</v>
      </c>
      <c r="W47" s="365">
        <v>0.71786758319578947</v>
      </c>
      <c r="X47" s="365">
        <v>0.38847480125782419</v>
      </c>
      <c r="Y47" s="365">
        <v>1.1063423844536135</v>
      </c>
    </row>
    <row r="48" spans="1:25" x14ac:dyDescent="0.25">
      <c r="A48" s="343"/>
      <c r="B48" s="356">
        <v>1.1857448831971868E-2</v>
      </c>
      <c r="C48" s="357">
        <v>7.4706696591678721E-4</v>
      </c>
      <c r="D48" s="354">
        <v>1.2604515797888655E-2</v>
      </c>
      <c r="E48" s="356">
        <v>2.3228766663169159E-3</v>
      </c>
      <c r="F48" s="357">
        <v>1.7450029432764858E-3</v>
      </c>
      <c r="G48" s="354">
        <v>4.0678796095934017E-3</v>
      </c>
      <c r="H48" s="349"/>
      <c r="I48" s="355" t="e">
        <f>Г48-Д48</f>
        <v>#NAME?</v>
      </c>
      <c r="K48" s="340"/>
      <c r="L48" s="339">
        <v>1.1857448831971868E-2</v>
      </c>
      <c r="M48" s="339">
        <v>7.4706696591678721E-4</v>
      </c>
      <c r="N48" s="339">
        <v>1.2604515797888655E-2</v>
      </c>
      <c r="O48" s="339">
        <v>2.3228766663169159E-3</v>
      </c>
      <c r="P48" s="339">
        <v>1.7450029432764858E-3</v>
      </c>
      <c r="Q48" s="339">
        <v>4.0678796095934017E-3</v>
      </c>
      <c r="S48" s="345"/>
      <c r="T48" s="365">
        <v>1.1857448831971868</v>
      </c>
      <c r="U48" s="365">
        <v>7.4706696591678723E-2</v>
      </c>
      <c r="V48" s="365">
        <v>1.2604515797888656</v>
      </c>
      <c r="W48" s="365">
        <v>0.23228766663169159</v>
      </c>
      <c r="X48" s="365">
        <v>0.17450029432764858</v>
      </c>
      <c r="Y48" s="365">
        <v>0.40678796095934017</v>
      </c>
    </row>
    <row r="49" spans="1:25" x14ac:dyDescent="0.25">
      <c r="A49" s="343"/>
      <c r="B49" s="356">
        <v>1.1436309652393766E-2</v>
      </c>
      <c r="C49" s="357">
        <v>0</v>
      </c>
      <c r="D49" s="354">
        <v>1.1436309652393766E-2</v>
      </c>
      <c r="E49" s="356">
        <v>2.3228766663169159E-3</v>
      </c>
      <c r="F49" s="357">
        <v>1.4056372480552471E-3</v>
      </c>
      <c r="G49" s="354">
        <v>3.7285139143721632E-3</v>
      </c>
      <c r="H49" s="349"/>
      <c r="I49" s="355" t="e">
        <f>Г49-Д49</f>
        <v>#NAME?</v>
      </c>
      <c r="K49" s="340"/>
      <c r="L49" s="339">
        <v>1.1436309652393766E-2</v>
      </c>
      <c r="M49" s="339">
        <v>0</v>
      </c>
      <c r="N49" s="339">
        <v>1.1436309652393766E-2</v>
      </c>
      <c r="O49" s="339">
        <v>2.3228766663169159E-3</v>
      </c>
      <c r="P49" s="339">
        <v>1.4056372480552471E-3</v>
      </c>
      <c r="Q49" s="339">
        <v>3.7285139143721632E-3</v>
      </c>
      <c r="S49" s="345"/>
      <c r="T49" s="365">
        <v>1.1436309652393766</v>
      </c>
      <c r="U49" s="365">
        <v>0</v>
      </c>
      <c r="V49" s="365">
        <v>1.1436309652393766</v>
      </c>
      <c r="W49" s="365">
        <v>0.23228766663169159</v>
      </c>
      <c r="X49" s="365">
        <v>0.1405637248055247</v>
      </c>
      <c r="Y49" s="365">
        <v>0.3728513914372163</v>
      </c>
    </row>
    <row r="50" spans="1:25" ht="15" customHeight="1" x14ac:dyDescent="0.25">
      <c r="A50" s="344" t="s">
        <v>356</v>
      </c>
      <c r="B50" s="356">
        <v>1.1110381866055079E-2</v>
      </c>
      <c r="C50" s="357">
        <v>5.7545988607249441E-4</v>
      </c>
      <c r="D50" s="354">
        <v>1.1685841752127574E-2</v>
      </c>
      <c r="E50" s="356">
        <v>1.9980226913497616E-3</v>
      </c>
      <c r="F50" s="357">
        <v>1.9792888325515143E-3</v>
      </c>
      <c r="G50" s="354">
        <v>3.9773115239012755E-3</v>
      </c>
      <c r="H50" s="349"/>
      <c r="I50" s="355" t="e">
        <f>Г50-Д50</f>
        <v>#NAME?</v>
      </c>
      <c r="K50" s="340">
        <v>8.3333333333333329E-2</v>
      </c>
      <c r="L50" s="339">
        <v>1.1110381866055079E-2</v>
      </c>
      <c r="M50" s="339">
        <v>5.7545988607249441E-4</v>
      </c>
      <c r="N50" s="339">
        <v>1.1685841752127574E-2</v>
      </c>
      <c r="O50" s="339">
        <v>1.9980226913497616E-3</v>
      </c>
      <c r="P50" s="339">
        <v>1.9792888325515143E-3</v>
      </c>
      <c r="Q50" s="339">
        <v>3.9773115239012755E-3</v>
      </c>
      <c r="S50" s="345">
        <v>8.3333333333333329E-2</v>
      </c>
      <c r="T50" s="365">
        <v>1.1110381866055079</v>
      </c>
      <c r="U50" s="365">
        <v>5.7545988607249438E-2</v>
      </c>
      <c r="V50" s="365">
        <v>1.1685841752127575</v>
      </c>
      <c r="W50" s="365">
        <v>0.19980226913497617</v>
      </c>
      <c r="X50" s="365">
        <v>0.19792888325515143</v>
      </c>
      <c r="Y50" s="365">
        <v>0.39773115239012757</v>
      </c>
    </row>
    <row r="51" spans="1:25" x14ac:dyDescent="0.25">
      <c r="A51" s="343"/>
      <c r="B51" s="356">
        <v>9.7136207321728493E-3</v>
      </c>
      <c r="C51" s="357">
        <v>5.7545988607249441E-4</v>
      </c>
      <c r="D51" s="354">
        <v>1.0289080618245343E-2</v>
      </c>
      <c r="E51" s="356">
        <v>1.1666472096020972E-3</v>
      </c>
      <c r="F51" s="357">
        <v>6.6854929144980824E-4</v>
      </c>
      <c r="G51" s="354">
        <v>1.8351965010519056E-3</v>
      </c>
      <c r="H51" s="349"/>
      <c r="I51" s="355" t="e">
        <f>Г51-Д51</f>
        <v>#NAME?</v>
      </c>
      <c r="K51" s="340"/>
      <c r="L51" s="339">
        <v>9.7136207321728493E-3</v>
      </c>
      <c r="M51" s="339">
        <v>5.7545988607249441E-4</v>
      </c>
      <c r="N51" s="339">
        <v>1.0289080618245343E-2</v>
      </c>
      <c r="O51" s="339">
        <v>1.1666472096020972E-3</v>
      </c>
      <c r="P51" s="339">
        <v>6.6854929144980824E-4</v>
      </c>
      <c r="Q51" s="339">
        <v>1.8351965010519056E-3</v>
      </c>
      <c r="S51" s="345"/>
      <c r="T51" s="365">
        <v>0.97136207321728496</v>
      </c>
      <c r="U51" s="365">
        <v>5.7545988607249438E-2</v>
      </c>
      <c r="V51" s="365">
        <v>1.0289080618245343</v>
      </c>
      <c r="W51" s="365">
        <v>0.11666472096020972</v>
      </c>
      <c r="X51" s="365">
        <v>6.6854929144980826E-2</v>
      </c>
      <c r="Y51" s="365">
        <v>0.18351965010519056</v>
      </c>
    </row>
    <row r="52" spans="1:25" x14ac:dyDescent="0.25">
      <c r="A52" s="343"/>
      <c r="B52" s="356">
        <v>9.3958881961414761E-3</v>
      </c>
      <c r="C52" s="357">
        <v>0</v>
      </c>
      <c r="D52" s="354">
        <v>9.3958881961414761E-3</v>
      </c>
      <c r="E52" s="356">
        <v>1.1666472096020972E-3</v>
      </c>
      <c r="F52" s="357">
        <v>0</v>
      </c>
      <c r="G52" s="354">
        <v>1.1666472096020972E-3</v>
      </c>
      <c r="H52" s="349"/>
      <c r="I52" s="355" t="e">
        <f>Г52-Д52</f>
        <v>#NAME?</v>
      </c>
      <c r="K52" s="340"/>
      <c r="L52" s="339">
        <v>9.3958881961414761E-3</v>
      </c>
      <c r="M52" s="339">
        <v>0</v>
      </c>
      <c r="N52" s="339">
        <v>9.3958881961414761E-3</v>
      </c>
      <c r="O52" s="339">
        <v>1.1666472096020972E-3</v>
      </c>
      <c r="P52" s="339">
        <v>0</v>
      </c>
      <c r="Q52" s="339">
        <v>1.1666472096020972E-3</v>
      </c>
      <c r="S52" s="345"/>
      <c r="T52" s="365">
        <v>0.93958881961414764</v>
      </c>
      <c r="U52" s="365">
        <v>0</v>
      </c>
      <c r="V52" s="365">
        <v>0.93958881961414764</v>
      </c>
      <c r="W52" s="365">
        <v>0.11666472096020972</v>
      </c>
      <c r="X52" s="365">
        <v>0</v>
      </c>
      <c r="Y52" s="365">
        <v>0.11666472096020972</v>
      </c>
    </row>
    <row r="53" spans="1:25" x14ac:dyDescent="0.25">
      <c r="A53" s="342" t="s">
        <v>6</v>
      </c>
      <c r="B53" s="360">
        <v>1.0605564864296889E-2</v>
      </c>
      <c r="C53" s="361">
        <v>0</v>
      </c>
      <c r="D53" s="354">
        <v>1.0605564864296889E-2</v>
      </c>
      <c r="E53" s="360">
        <v>1.1666472096020972E-3</v>
      </c>
      <c r="F53" s="361">
        <v>8.313754817476642E-4</v>
      </c>
      <c r="G53" s="354">
        <v>1.9980226913497616E-3</v>
      </c>
      <c r="H53" s="349"/>
      <c r="I53" s="355" t="e">
        <f>Г53-Д53</f>
        <v>#NAME?</v>
      </c>
      <c r="K53" s="340" t="s">
        <v>6</v>
      </c>
      <c r="L53" s="339">
        <v>1.0605564864296889E-2</v>
      </c>
      <c r="M53" s="339">
        <v>0</v>
      </c>
      <c r="N53" s="339">
        <v>1.0605564864296889E-2</v>
      </c>
      <c r="O53" s="339">
        <v>1.1666472096020972E-3</v>
      </c>
      <c r="P53" s="339">
        <v>8.313754817476642E-4</v>
      </c>
      <c r="Q53" s="339">
        <v>1.9980226913497616E-3</v>
      </c>
      <c r="S53" s="345">
        <v>0.14583333333333334</v>
      </c>
      <c r="T53" s="365">
        <v>1.0605564864296888</v>
      </c>
      <c r="U53" s="365">
        <v>0</v>
      </c>
      <c r="V53" s="365">
        <v>1.0605564864296888</v>
      </c>
      <c r="W53" s="365">
        <v>0.11666472096020972</v>
      </c>
      <c r="X53" s="365">
        <v>8.3137548174766415E-2</v>
      </c>
      <c r="Y53" s="365">
        <v>0.19980226913497617</v>
      </c>
    </row>
    <row r="56" spans="1:25" x14ac:dyDescent="0.25">
      <c r="A56" s="339" t="s">
        <v>316</v>
      </c>
      <c r="E56" s="339" t="s">
        <v>271</v>
      </c>
      <c r="O56" s="339" t="s">
        <v>271</v>
      </c>
    </row>
    <row r="57" spans="1:25" x14ac:dyDescent="0.25">
      <c r="B57" s="339" t="s">
        <v>12</v>
      </c>
      <c r="E57" s="339" t="s">
        <v>11</v>
      </c>
      <c r="K57" s="339" t="s">
        <v>316</v>
      </c>
      <c r="L57" s="339" t="s">
        <v>12</v>
      </c>
      <c r="O57" s="339" t="s">
        <v>11</v>
      </c>
    </row>
    <row r="58" spans="1:25" x14ac:dyDescent="0.25">
      <c r="B58" s="339" t="s">
        <v>113</v>
      </c>
      <c r="C58" s="339" t="s">
        <v>114</v>
      </c>
      <c r="D58" s="339" t="s">
        <v>217</v>
      </c>
      <c r="E58" s="339" t="s">
        <v>113</v>
      </c>
      <c r="F58" s="339" t="s">
        <v>114</v>
      </c>
      <c r="G58" s="339" t="s">
        <v>217</v>
      </c>
      <c r="L58" s="339" t="s">
        <v>113</v>
      </c>
      <c r="M58" s="339" t="s">
        <v>114</v>
      </c>
      <c r="N58" s="339" t="s">
        <v>217</v>
      </c>
      <c r="O58" s="339" t="s">
        <v>113</v>
      </c>
      <c r="P58" s="339" t="s">
        <v>114</v>
      </c>
      <c r="Q58" s="339" t="s">
        <v>217</v>
      </c>
    </row>
    <row r="59" spans="1:25" x14ac:dyDescent="0.25">
      <c r="A59" s="339" t="s">
        <v>0</v>
      </c>
      <c r="B59" s="339">
        <v>1.6114354663154199E-2</v>
      </c>
      <c r="C59" s="339">
        <v>2.2850381509330464E-4</v>
      </c>
      <c r="D59" s="339">
        <v>1.6342858478247502E-2</v>
      </c>
      <c r="E59" s="339">
        <v>3.4702162814225041E-3</v>
      </c>
      <c r="F59" s="339">
        <v>2.7376539349880085E-3</v>
      </c>
      <c r="G59" s="339">
        <v>6.2078702164105127E-3</v>
      </c>
      <c r="K59" s="341" t="s">
        <v>0</v>
      </c>
      <c r="L59" s="339" t="e">
        <f>100*Б59</f>
        <v>#NAME?</v>
      </c>
      <c r="M59" s="339" t="e">
        <f>100*Ц59</f>
        <v>#NAME?</v>
      </c>
      <c r="N59" s="339" t="e">
        <f>100*Д59</f>
        <v>#NAME?</v>
      </c>
      <c r="O59" s="339" t="e">
        <f>100*Е59</f>
        <v>#NAME?</v>
      </c>
      <c r="P59" s="339" t="e">
        <f>100*Ф59</f>
        <v>#NAME?</v>
      </c>
      <c r="Q59" s="339" t="e">
        <f>100*Г59</f>
        <v>#NAME?</v>
      </c>
    </row>
    <row r="60" spans="1:25" x14ac:dyDescent="0.25">
      <c r="B60" s="339">
        <v>2.0570579682880827E-2</v>
      </c>
      <c r="C60" s="339">
        <v>1.1038053366323167E-3</v>
      </c>
      <c r="D60" s="339">
        <v>2.1674385019513142E-2</v>
      </c>
      <c r="E60" s="339">
        <v>4.4131341740817377E-3</v>
      </c>
      <c r="F60" s="339">
        <v>2.3146133682439966E-3</v>
      </c>
      <c r="G60" s="339">
        <v>6.7277475423257339E-3</v>
      </c>
      <c r="K60" s="341"/>
      <c r="L60" s="339" t="e">
        <f>100*Б60</f>
        <v>#NAME?</v>
      </c>
      <c r="M60" s="339" t="e">
        <f>100*Ц60</f>
        <v>#NAME?</v>
      </c>
      <c r="N60" s="339" t="e">
        <f>100*Д60</f>
        <v>#NAME?</v>
      </c>
      <c r="O60" s="339" t="e">
        <f>100*Е60</f>
        <v>#NAME?</v>
      </c>
      <c r="P60" s="339" t="e">
        <f>100*Ф60</f>
        <v>#NAME?</v>
      </c>
      <c r="Q60" s="339" t="e">
        <f>100*Г60</f>
        <v>#NAME?</v>
      </c>
    </row>
    <row r="61" spans="1:25" x14ac:dyDescent="0.25">
      <c r="B61" s="339">
        <v>3.0659903450161296E-2</v>
      </c>
      <c r="C61" s="339">
        <v>6.2984571731623529E-3</v>
      </c>
      <c r="D61" s="339">
        <v>3.6958360623323652E-2</v>
      </c>
      <c r="E61" s="339">
        <v>1.4300945972094017E-2</v>
      </c>
      <c r="F61" s="339">
        <v>7.7473909808159994E-3</v>
      </c>
      <c r="G61" s="339">
        <v>2.2048336952910016E-2</v>
      </c>
      <c r="K61" s="341"/>
      <c r="L61" s="339" t="e">
        <f>100*Б61</f>
        <v>#NAME?</v>
      </c>
      <c r="M61" s="339" t="e">
        <f>100*Ц61</f>
        <v>#NAME?</v>
      </c>
      <c r="N61" s="339" t="e">
        <f>100*Д61</f>
        <v>#NAME?</v>
      </c>
      <c r="O61" s="339" t="e">
        <f>100*Е61</f>
        <v>#NAME?</v>
      </c>
      <c r="P61" s="339" t="e">
        <f>100*Ф61</f>
        <v>#NAME?</v>
      </c>
      <c r="Q61" s="339" t="e">
        <f>100*Г61</f>
        <v>#NAME?</v>
      </c>
    </row>
    <row r="62" spans="1:25" x14ac:dyDescent="0.25">
      <c r="B62" s="339">
        <v>6.4520291768647223E-2</v>
      </c>
      <c r="C62" s="339">
        <v>1.2264822377756923E-2</v>
      </c>
      <c r="D62" s="339">
        <v>7.678511414640414E-2</v>
      </c>
      <c r="E62" s="339">
        <v>3.2248516257502288E-2</v>
      </c>
      <c r="F62" s="339">
        <v>1.4878991630163818E-2</v>
      </c>
      <c r="G62" s="339">
        <v>4.7127507887666106E-2</v>
      </c>
      <c r="K62" s="341"/>
      <c r="L62" s="339" t="e">
        <f>100*Б62</f>
        <v>#NAME?</v>
      </c>
      <c r="M62" s="339" t="e">
        <f>100*Ц62</f>
        <v>#NAME?</v>
      </c>
      <c r="N62" s="339" t="e">
        <f>100*Д62</f>
        <v>#NAME?</v>
      </c>
      <c r="O62" s="339" t="e">
        <f>100*Е62</f>
        <v>#NAME?</v>
      </c>
      <c r="P62" s="339" t="e">
        <f>100*Ф62</f>
        <v>#NAME?</v>
      </c>
      <c r="Q62" s="339" t="e">
        <f>100*Г62</f>
        <v>#NAME?</v>
      </c>
    </row>
    <row r="63" spans="1:25" x14ac:dyDescent="0.25">
      <c r="A63" s="339">
        <v>0.25</v>
      </c>
      <c r="B63" s="339">
        <v>0.10821937898956867</v>
      </c>
      <c r="C63" s="339">
        <v>1.8971955530105333E-2</v>
      </c>
      <c r="D63" s="339">
        <v>0.12719133451967402</v>
      </c>
      <c r="E63" s="339">
        <v>6.7164289809682878E-2</v>
      </c>
      <c r="F63" s="339">
        <v>2.9880226944196116E-2</v>
      </c>
      <c r="G63" s="339">
        <v>9.7044516753878998E-2</v>
      </c>
      <c r="K63" s="341">
        <v>0.25</v>
      </c>
      <c r="L63" s="339" t="e">
        <f>100*Б63</f>
        <v>#NAME?</v>
      </c>
      <c r="M63" s="339" t="e">
        <f>100*Ц63</f>
        <v>#NAME?</v>
      </c>
      <c r="N63" s="339" t="e">
        <f>100*Д63</f>
        <v>#NAME?</v>
      </c>
      <c r="O63" s="339" t="e">
        <f>100*Е63</f>
        <v>#NAME?</v>
      </c>
      <c r="P63" s="339" t="e">
        <f>100*Ф63</f>
        <v>#NAME?</v>
      </c>
      <c r="Q63" s="339" t="e">
        <f>100*Г63</f>
        <v>#NAME?</v>
      </c>
    </row>
    <row r="64" spans="1:25" x14ac:dyDescent="0.25">
      <c r="B64" s="339">
        <v>0.18805627260946176</v>
      </c>
      <c r="C64" s="339">
        <v>3.7380694894986695E-2</v>
      </c>
      <c r="D64" s="339">
        <v>0.22543696750444844</v>
      </c>
      <c r="E64" s="339">
        <v>0.12080326232100159</v>
      </c>
      <c r="F64" s="339">
        <v>4.8547050681283552E-2</v>
      </c>
      <c r="G64" s="339">
        <v>0.16935031300228515</v>
      </c>
      <c r="K64" s="341"/>
      <c r="L64" s="339" t="e">
        <f>100*Б64</f>
        <v>#NAME?</v>
      </c>
      <c r="M64" s="339" t="e">
        <f>100*Ц64</f>
        <v>#NAME?</v>
      </c>
      <c r="N64" s="339" t="e">
        <f>100*Д64</f>
        <v>#NAME?</v>
      </c>
      <c r="O64" s="339" t="e">
        <f>100*Е64</f>
        <v>#NAME?</v>
      </c>
      <c r="P64" s="339" t="e">
        <f>100*Ф64</f>
        <v>#NAME?</v>
      </c>
      <c r="Q64" s="339" t="e">
        <f>100*Г64</f>
        <v>#NAME?</v>
      </c>
    </row>
    <row r="65" spans="1:17" x14ac:dyDescent="0.25">
      <c r="B65" s="339">
        <v>0.2800338414019598</v>
      </c>
      <c r="C65" s="339">
        <v>6.0423786576994848E-2</v>
      </c>
      <c r="D65" s="339">
        <v>0.34045762797895462</v>
      </c>
      <c r="E65" s="339">
        <v>0.18267395469009856</v>
      </c>
      <c r="F65" s="339">
        <v>0.11559977629164306</v>
      </c>
      <c r="G65" s="339">
        <v>0.29827373098174159</v>
      </c>
      <c r="K65" s="341"/>
      <c r="L65" s="339" t="e">
        <f>100*Б65</f>
        <v>#NAME?</v>
      </c>
      <c r="M65" s="339" t="e">
        <f>100*Ц65</f>
        <v>#NAME?</v>
      </c>
      <c r="N65" s="339" t="e">
        <f>100*Д65</f>
        <v>#NAME?</v>
      </c>
      <c r="O65" s="339" t="e">
        <f>100*Е65</f>
        <v>#NAME?</v>
      </c>
      <c r="P65" s="339" t="e">
        <f>100*Ф65</f>
        <v>#NAME?</v>
      </c>
      <c r="Q65" s="339" t="e">
        <f>100*Г65</f>
        <v>#NAME?</v>
      </c>
    </row>
    <row r="66" spans="1:17" x14ac:dyDescent="0.25">
      <c r="B66" s="339">
        <v>0.35833279834619786</v>
      </c>
      <c r="C66" s="339">
        <v>8.982164520958151E-2</v>
      </c>
      <c r="D66" s="339">
        <v>0.44815444355577938</v>
      </c>
      <c r="E66" s="339">
        <v>0.22517858467789129</v>
      </c>
      <c r="F66" s="339">
        <v>0.17720081090032169</v>
      </c>
      <c r="G66" s="339">
        <v>0.40237939557821301</v>
      </c>
      <c r="K66" s="341"/>
      <c r="L66" s="339" t="e">
        <f>100*Б66</f>
        <v>#NAME?</v>
      </c>
      <c r="M66" s="339" t="e">
        <f>100*Ц66</f>
        <v>#NAME?</v>
      </c>
      <c r="N66" s="339" t="e">
        <f>100*Д66</f>
        <v>#NAME?</v>
      </c>
      <c r="O66" s="339" t="e">
        <f>100*Е66</f>
        <v>#NAME?</v>
      </c>
      <c r="P66" s="339" t="e">
        <f>100*Ф66</f>
        <v>#NAME?</v>
      </c>
      <c r="Q66" s="339" t="e">
        <f>100*Г66</f>
        <v>#NAME?</v>
      </c>
    </row>
    <row r="67" spans="1:17" x14ac:dyDescent="0.25">
      <c r="A67" s="339" t="s">
        <v>1</v>
      </c>
      <c r="B67" s="339">
        <v>0.42226630994793912</v>
      </c>
      <c r="C67" s="339">
        <v>0.12104751774226251</v>
      </c>
      <c r="D67" s="339">
        <v>0.54331382769020165</v>
      </c>
      <c r="E67" s="339">
        <v>0.27680534567532517</v>
      </c>
      <c r="F67" s="339">
        <v>0.2210482588294693</v>
      </c>
      <c r="G67" s="339">
        <v>0.49785360450479443</v>
      </c>
      <c r="K67" s="341" t="s">
        <v>1</v>
      </c>
      <c r="L67" s="339" t="e">
        <f>100*Б67</f>
        <v>#NAME?</v>
      </c>
      <c r="M67" s="339" t="e">
        <f>100*Ц67</f>
        <v>#NAME?</v>
      </c>
      <c r="N67" s="339" t="e">
        <f>100*Д67</f>
        <v>#NAME?</v>
      </c>
      <c r="O67" s="339" t="e">
        <f>100*Е67</f>
        <v>#NAME?</v>
      </c>
      <c r="P67" s="339" t="e">
        <f>100*Ф67</f>
        <v>#NAME?</v>
      </c>
      <c r="Q67" s="339" t="e">
        <f>100*Г67</f>
        <v>#NAME?</v>
      </c>
    </row>
    <row r="68" spans="1:17" x14ac:dyDescent="0.25">
      <c r="B68" s="339">
        <v>0.45468802365698885</v>
      </c>
      <c r="C68" s="339">
        <v>0.14494087412456957</v>
      </c>
      <c r="D68" s="339">
        <v>0.59962889778155848</v>
      </c>
      <c r="E68" s="339">
        <v>0.29075164062929199</v>
      </c>
      <c r="F68" s="339">
        <v>0.2600652267232193</v>
      </c>
      <c r="G68" s="339">
        <v>0.55081686735251134</v>
      </c>
      <c r="K68" s="341"/>
      <c r="L68" s="339" t="e">
        <f>100*Б68</f>
        <v>#NAME?</v>
      </c>
      <c r="M68" s="339" t="e">
        <f>100*Ц68</f>
        <v>#NAME?</v>
      </c>
      <c r="N68" s="339" t="e">
        <f>100*Д68</f>
        <v>#NAME?</v>
      </c>
      <c r="O68" s="339" t="e">
        <f>100*Е68</f>
        <v>#NAME?</v>
      </c>
      <c r="P68" s="339" t="e">
        <f>100*Ф68</f>
        <v>#NAME?</v>
      </c>
      <c r="Q68" s="339" t="e">
        <f>100*Г68</f>
        <v>#NAME?</v>
      </c>
    </row>
    <row r="69" spans="1:17" x14ac:dyDescent="0.25">
      <c r="B69" s="339">
        <v>0.43718323130229003</v>
      </c>
      <c r="C69" s="339">
        <v>0.15716258616849102</v>
      </c>
      <c r="D69" s="339">
        <v>0.59434581747078108</v>
      </c>
      <c r="E69" s="339">
        <v>0.2873611640743623</v>
      </c>
      <c r="F69" s="339">
        <v>0.27113854550390115</v>
      </c>
      <c r="G69" s="339">
        <v>0.55849970957826345</v>
      </c>
      <c r="K69" s="341"/>
      <c r="L69" s="339" t="e">
        <f>100*Б69</f>
        <v>#NAME?</v>
      </c>
      <c r="M69" s="339" t="e">
        <f>100*Ц69</f>
        <v>#NAME?</v>
      </c>
      <c r="N69" s="339" t="e">
        <f>100*Д69</f>
        <v>#NAME?</v>
      </c>
      <c r="O69" s="339" t="e">
        <f>100*Е69</f>
        <v>#NAME?</v>
      </c>
      <c r="P69" s="339" t="e">
        <f>100*Ф69</f>
        <v>#NAME?</v>
      </c>
      <c r="Q69" s="339" t="e">
        <f>100*Г69</f>
        <v>#NAME?</v>
      </c>
    </row>
    <row r="70" spans="1:17" x14ac:dyDescent="0.25">
      <c r="B70" s="339">
        <v>0.46916959954860471</v>
      </c>
      <c r="C70" s="339">
        <v>0.15249476463668954</v>
      </c>
      <c r="D70" s="339">
        <v>0.62166436418529425</v>
      </c>
      <c r="E70" s="339">
        <v>0.30750257579996304</v>
      </c>
      <c r="F70" s="339">
        <v>0.30162994142188376</v>
      </c>
      <c r="G70" s="339">
        <v>0.6091325172218468</v>
      </c>
      <c r="K70" s="341"/>
      <c r="L70" s="339" t="e">
        <f>100*Б70</f>
        <v>#NAME?</v>
      </c>
      <c r="M70" s="339" t="e">
        <f>100*Ц70</f>
        <v>#NAME?</v>
      </c>
      <c r="N70" s="339" t="e">
        <f>100*Д70</f>
        <v>#NAME?</v>
      </c>
      <c r="O70" s="339" t="e">
        <f>100*Е70</f>
        <v>#NAME?</v>
      </c>
      <c r="P70" s="339" t="e">
        <f>100*Ф70</f>
        <v>#NAME?</v>
      </c>
      <c r="Q70" s="339" t="e">
        <f>100*Г70</f>
        <v>#NAME?</v>
      </c>
    </row>
    <row r="71" spans="1:17" x14ac:dyDescent="0.25">
      <c r="A71" s="339">
        <v>0.41666666666666669</v>
      </c>
      <c r="B71" s="339">
        <v>0.39441154976671522</v>
      </c>
      <c r="C71" s="339">
        <v>0.18336657856260935</v>
      </c>
      <c r="D71" s="339">
        <v>0.57777812832932463</v>
      </c>
      <c r="E71" s="339">
        <v>0.25116954965041616</v>
      </c>
      <c r="F71" s="339">
        <v>0.35315002855947336</v>
      </c>
      <c r="G71" s="339">
        <v>0.60431957820988957</v>
      </c>
      <c r="K71" s="341">
        <v>0.41666666666666669</v>
      </c>
      <c r="L71" s="339" t="e">
        <f>100*Б71</f>
        <v>#NAME?</v>
      </c>
      <c r="M71" s="339" t="e">
        <f>100*Ц71</f>
        <v>#NAME?</v>
      </c>
      <c r="N71" s="339" t="e">
        <f>100*Д71</f>
        <v>#NAME?</v>
      </c>
      <c r="O71" s="339" t="e">
        <f>100*Е71</f>
        <v>#NAME?</v>
      </c>
      <c r="P71" s="339" t="e">
        <f>100*Ф71</f>
        <v>#NAME?</v>
      </c>
      <c r="Q71" s="339" t="e">
        <f>100*Г71</f>
        <v>#NAME?</v>
      </c>
    </row>
    <row r="72" spans="1:17" x14ac:dyDescent="0.25">
      <c r="B72" s="339">
        <v>0.48170210713604528</v>
      </c>
      <c r="C72" s="339">
        <v>0.17822513339500443</v>
      </c>
      <c r="D72" s="339">
        <v>0.65992724053104967</v>
      </c>
      <c r="E72" s="339">
        <v>0.30486173029695818</v>
      </c>
      <c r="F72" s="339">
        <v>0.35745209161284569</v>
      </c>
      <c r="G72" s="339">
        <v>0.66231382190980392</v>
      </c>
      <c r="K72" s="341"/>
      <c r="L72" s="339" t="e">
        <f>100*Б72</f>
        <v>#NAME?</v>
      </c>
      <c r="M72" s="339" t="e">
        <f>100*Ц72</f>
        <v>#NAME?</v>
      </c>
      <c r="N72" s="339" t="e">
        <f>100*Д72</f>
        <v>#NAME?</v>
      </c>
      <c r="O72" s="339" t="e">
        <f>100*Е72</f>
        <v>#NAME?</v>
      </c>
      <c r="P72" s="339" t="e">
        <f>100*Ф72</f>
        <v>#NAME?</v>
      </c>
      <c r="Q72" s="339" t="e">
        <f>100*Г72</f>
        <v>#NAME?</v>
      </c>
    </row>
    <row r="73" spans="1:17" x14ac:dyDescent="0.25">
      <c r="B73" s="339">
        <v>0.48912574856568214</v>
      </c>
      <c r="C73" s="339">
        <v>0.16735423518385337</v>
      </c>
      <c r="D73" s="339">
        <v>0.65647998374953553</v>
      </c>
      <c r="E73" s="339">
        <v>0.31481685806927145</v>
      </c>
      <c r="F73" s="339">
        <v>0.35127011076618297</v>
      </c>
      <c r="G73" s="339">
        <v>0.66608696883545448</v>
      </c>
      <c r="K73" s="341"/>
      <c r="L73" s="339" t="e">
        <f>100*Б73</f>
        <v>#NAME?</v>
      </c>
      <c r="M73" s="339" t="e">
        <f>100*Ц73</f>
        <v>#NAME?</v>
      </c>
      <c r="N73" s="339" t="e">
        <f>100*Д73</f>
        <v>#NAME?</v>
      </c>
      <c r="O73" s="339" t="e">
        <f>100*Е73</f>
        <v>#NAME?</v>
      </c>
      <c r="P73" s="339" t="e">
        <f>100*Ф73</f>
        <v>#NAME?</v>
      </c>
      <c r="Q73" s="339" t="e">
        <f>100*Г73</f>
        <v>#NAME?</v>
      </c>
    </row>
    <row r="74" spans="1:17" x14ac:dyDescent="0.25">
      <c r="B74" s="339">
        <v>0.52137747088045316</v>
      </c>
      <c r="C74" s="339">
        <v>0.16034058509883167</v>
      </c>
      <c r="D74" s="339">
        <v>0.68171805597928481</v>
      </c>
      <c r="E74" s="339">
        <v>0.34318992714028002</v>
      </c>
      <c r="F74" s="339">
        <v>0.36549069681320762</v>
      </c>
      <c r="G74" s="339">
        <v>0.70868062395348763</v>
      </c>
      <c r="K74" s="341"/>
      <c r="L74" s="339" t="e">
        <f>100*Б74</f>
        <v>#NAME?</v>
      </c>
      <c r="M74" s="339" t="e">
        <f>100*Ц74</f>
        <v>#NAME?</v>
      </c>
      <c r="N74" s="339" t="e">
        <f>100*Д74</f>
        <v>#NAME?</v>
      </c>
      <c r="O74" s="339" t="e">
        <f>100*Е74</f>
        <v>#NAME?</v>
      </c>
      <c r="P74" s="339" t="e">
        <f>100*Ф74</f>
        <v>#NAME?</v>
      </c>
      <c r="Q74" s="339" t="e">
        <f>100*Г74</f>
        <v>#NAME?</v>
      </c>
    </row>
    <row r="75" spans="1:17" x14ac:dyDescent="0.25">
      <c r="A75" s="339" t="s">
        <v>2</v>
      </c>
      <c r="B75" s="339">
        <v>0.50979054519107514</v>
      </c>
      <c r="C75" s="339">
        <v>0.14143634924180731</v>
      </c>
      <c r="D75" s="339">
        <v>0.65122689443288251</v>
      </c>
      <c r="E75" s="339">
        <v>0.35083567030696577</v>
      </c>
      <c r="F75" s="339">
        <v>0.34821290839435209</v>
      </c>
      <c r="G75" s="339">
        <v>0.69904857870131787</v>
      </c>
      <c r="K75" s="341" t="s">
        <v>2</v>
      </c>
      <c r="L75" s="339" t="e">
        <f>100*Б75</f>
        <v>#NAME?</v>
      </c>
      <c r="M75" s="339" t="e">
        <f>100*Ц75</f>
        <v>#NAME?</v>
      </c>
      <c r="N75" s="339" t="e">
        <f>100*Д75</f>
        <v>#NAME?</v>
      </c>
      <c r="O75" s="339" t="e">
        <f>100*Е75</f>
        <v>#NAME?</v>
      </c>
      <c r="P75" s="339" t="e">
        <f>100*Ф75</f>
        <v>#NAME?</v>
      </c>
      <c r="Q75" s="339" t="e">
        <f>100*Г75</f>
        <v>#NAME?</v>
      </c>
    </row>
    <row r="76" spans="1:17" x14ac:dyDescent="0.25">
      <c r="B76" s="339">
        <v>0.52637497211192541</v>
      </c>
      <c r="C76" s="339">
        <v>0.13945721243349116</v>
      </c>
      <c r="D76" s="339">
        <v>0.66583218454541659</v>
      </c>
      <c r="E76" s="339">
        <v>0.37226912342067892</v>
      </c>
      <c r="F76" s="339">
        <v>0.33724879705988475</v>
      </c>
      <c r="G76" s="339">
        <v>0.70951792048056372</v>
      </c>
      <c r="K76" s="341"/>
      <c r="L76" s="339" t="e">
        <f>100*Б76</f>
        <v>#NAME?</v>
      </c>
      <c r="M76" s="339" t="e">
        <f>100*Ц76</f>
        <v>#NAME?</v>
      </c>
      <c r="N76" s="339" t="e">
        <f>100*Д76</f>
        <v>#NAME?</v>
      </c>
      <c r="O76" s="339" t="e">
        <f>100*Е76</f>
        <v>#NAME?</v>
      </c>
      <c r="P76" s="339" t="e">
        <f>100*Ф76</f>
        <v>#NAME?</v>
      </c>
      <c r="Q76" s="339" t="e">
        <f>100*Г76</f>
        <v>#NAME?</v>
      </c>
    </row>
    <row r="77" spans="1:17" x14ac:dyDescent="0.25">
      <c r="B77" s="339">
        <v>0.48143829803348248</v>
      </c>
      <c r="C77" s="339">
        <v>0.11462816898506201</v>
      </c>
      <c r="D77" s="339">
        <v>0.59606646701854449</v>
      </c>
      <c r="E77" s="339">
        <v>0.3355947107537896</v>
      </c>
      <c r="F77" s="339">
        <v>0.31386529827419085</v>
      </c>
      <c r="G77" s="339">
        <v>0.64946000902798051</v>
      </c>
      <c r="K77" s="341"/>
      <c r="L77" s="339" t="e">
        <f>100*Б77</f>
        <v>#NAME?</v>
      </c>
      <c r="M77" s="339" t="e">
        <f>100*Ц77</f>
        <v>#NAME?</v>
      </c>
      <c r="N77" s="339" t="e">
        <f>100*Д77</f>
        <v>#NAME?</v>
      </c>
      <c r="O77" s="339" t="e">
        <f>100*Е77</f>
        <v>#NAME?</v>
      </c>
      <c r="P77" s="339" t="e">
        <f>100*Ф77</f>
        <v>#NAME?</v>
      </c>
      <c r="Q77" s="339" t="e">
        <f>100*Г77</f>
        <v>#NAME?</v>
      </c>
    </row>
    <row r="78" spans="1:17" x14ac:dyDescent="0.25">
      <c r="B78" s="339">
        <v>0.50658967373900754</v>
      </c>
      <c r="C78" s="339">
        <v>0.11887188731040686</v>
      </c>
      <c r="D78" s="339">
        <v>0.62546156104941442</v>
      </c>
      <c r="E78" s="339">
        <v>0.34579665810591897</v>
      </c>
      <c r="F78" s="339">
        <v>0.31230657680633606</v>
      </c>
      <c r="G78" s="339">
        <v>0.65810323491225509</v>
      </c>
      <c r="K78" s="341"/>
      <c r="L78" s="339" t="e">
        <f>100*Б78</f>
        <v>#NAME?</v>
      </c>
      <c r="M78" s="339" t="e">
        <f>100*Ц78</f>
        <v>#NAME?</v>
      </c>
      <c r="N78" s="339" t="e">
        <f>100*Д78</f>
        <v>#NAME?</v>
      </c>
      <c r="O78" s="339" t="e">
        <f>100*Е78</f>
        <v>#NAME?</v>
      </c>
      <c r="P78" s="339" t="e">
        <f>100*Ф78</f>
        <v>#NAME?</v>
      </c>
      <c r="Q78" s="339" t="e">
        <f>100*Г78</f>
        <v>#NAME?</v>
      </c>
    </row>
    <row r="79" spans="1:17" x14ac:dyDescent="0.25">
      <c r="A79" s="339">
        <v>0.58333333333333337</v>
      </c>
      <c r="B79" s="339">
        <v>0.48251827226677685</v>
      </c>
      <c r="C79" s="339">
        <v>0.10127031924859255</v>
      </c>
      <c r="D79" s="339">
        <v>0.58378859151536944</v>
      </c>
      <c r="E79" s="339">
        <v>0.33237522054892776</v>
      </c>
      <c r="F79" s="339">
        <v>0.27436914775909549</v>
      </c>
      <c r="G79" s="339">
        <v>0.60674436830802325</v>
      </c>
      <c r="K79" s="341">
        <v>0.58333333333333337</v>
      </c>
      <c r="L79" s="339" t="e">
        <f>100*Б79</f>
        <v>#NAME?</v>
      </c>
      <c r="M79" s="339" t="e">
        <f>100*Ц79</f>
        <v>#NAME?</v>
      </c>
      <c r="N79" s="339" t="e">
        <f>100*Д79</f>
        <v>#NAME?</v>
      </c>
      <c r="O79" s="339" t="e">
        <f>100*Е79</f>
        <v>#NAME?</v>
      </c>
      <c r="P79" s="339" t="e">
        <f>100*Ф79</f>
        <v>#NAME?</v>
      </c>
      <c r="Q79" s="339" t="e">
        <f>100*Г79</f>
        <v>#NAME?</v>
      </c>
    </row>
    <row r="80" spans="1:17" x14ac:dyDescent="0.25">
      <c r="B80" s="339">
        <v>0.46466860590457626</v>
      </c>
      <c r="C80" s="339">
        <v>0.10909725555334832</v>
      </c>
      <c r="D80" s="339">
        <v>0.57376586145792463</v>
      </c>
      <c r="E80" s="339">
        <v>0.31284738415848012</v>
      </c>
      <c r="F80" s="339">
        <v>0.27593111958672017</v>
      </c>
      <c r="G80" s="339">
        <v>0.58877850374520024</v>
      </c>
      <c r="K80" s="341"/>
      <c r="L80" s="339" t="e">
        <f>100*Б80</f>
        <v>#NAME?</v>
      </c>
      <c r="M80" s="339" t="e">
        <f>100*Ц80</f>
        <v>#NAME?</v>
      </c>
      <c r="N80" s="339" t="e">
        <f>100*Д80</f>
        <v>#NAME?</v>
      </c>
      <c r="O80" s="339" t="e">
        <f>100*Е80</f>
        <v>#NAME?</v>
      </c>
      <c r="P80" s="339" t="e">
        <f>100*Ф80</f>
        <v>#NAME?</v>
      </c>
      <c r="Q80" s="339" t="e">
        <f>100*Г80</f>
        <v>#NAME?</v>
      </c>
    </row>
    <row r="81" spans="1:17" x14ac:dyDescent="0.25">
      <c r="B81" s="339">
        <v>0.42840226664237241</v>
      </c>
      <c r="C81" s="339">
        <v>0.10287241936190566</v>
      </c>
      <c r="D81" s="339">
        <v>0.53127468600427807</v>
      </c>
      <c r="E81" s="339">
        <v>0.28563113892028147</v>
      </c>
      <c r="F81" s="339">
        <v>0.24224863720580458</v>
      </c>
      <c r="G81" s="339">
        <v>0.52787977612608605</v>
      </c>
      <c r="K81" s="341"/>
      <c r="L81" s="339" t="e">
        <f>100*Б81</f>
        <v>#NAME?</v>
      </c>
      <c r="M81" s="339" t="e">
        <f>100*Ц81</f>
        <v>#NAME?</v>
      </c>
      <c r="N81" s="339" t="e">
        <f>100*Д81</f>
        <v>#NAME?</v>
      </c>
      <c r="O81" s="339" t="e">
        <f>100*Е81</f>
        <v>#NAME?</v>
      </c>
      <c r="P81" s="339" t="e">
        <f>100*Ф81</f>
        <v>#NAME?</v>
      </c>
      <c r="Q81" s="339" t="e">
        <f>100*Г81</f>
        <v>#NAME?</v>
      </c>
    </row>
    <row r="82" spans="1:17" x14ac:dyDescent="0.25">
      <c r="B82" s="339">
        <v>0.34200719693256898</v>
      </c>
      <c r="C82" s="339">
        <v>0.12362843812389274</v>
      </c>
      <c r="D82" s="339">
        <v>0.46563563505646172</v>
      </c>
      <c r="E82" s="339">
        <v>0.23322615812867517</v>
      </c>
      <c r="F82" s="339">
        <v>0.24686567876817683</v>
      </c>
      <c r="G82" s="339">
        <v>0.48009183689685198</v>
      </c>
      <c r="K82" s="341"/>
      <c r="L82" s="339" t="e">
        <f>100*Б82</f>
        <v>#NAME?</v>
      </c>
      <c r="M82" s="339" t="e">
        <f>100*Ц82</f>
        <v>#NAME?</v>
      </c>
      <c r="N82" s="339" t="e">
        <f>100*Д82</f>
        <v>#NAME?</v>
      </c>
      <c r="O82" s="339" t="e">
        <f>100*Е82</f>
        <v>#NAME?</v>
      </c>
      <c r="P82" s="339" t="e">
        <f>100*Ф82</f>
        <v>#NAME?</v>
      </c>
      <c r="Q82" s="339" t="e">
        <f>100*Г82</f>
        <v>#NAME?</v>
      </c>
    </row>
    <row r="83" spans="1:17" x14ac:dyDescent="0.25">
      <c r="A83" s="339" t="s">
        <v>3</v>
      </c>
      <c r="B83" s="339">
        <v>0.30202677462901872</v>
      </c>
      <c r="C83" s="339">
        <v>0.14728560665399912</v>
      </c>
      <c r="D83" s="339">
        <v>0.44931238128301787</v>
      </c>
      <c r="E83" s="339">
        <v>0.19515021753588971</v>
      </c>
      <c r="F83" s="339">
        <v>0.26145391090018527</v>
      </c>
      <c r="G83" s="339">
        <v>0.45660412843607501</v>
      </c>
      <c r="K83" s="341" t="s">
        <v>3</v>
      </c>
      <c r="L83" s="339" t="e">
        <f>100*Б83</f>
        <v>#NAME?</v>
      </c>
      <c r="M83" s="339" t="e">
        <f>100*Ц83</f>
        <v>#NAME?</v>
      </c>
      <c r="N83" s="339" t="e">
        <f>100*Д83</f>
        <v>#NAME?</v>
      </c>
      <c r="O83" s="339" t="e">
        <f>100*Е83</f>
        <v>#NAME?</v>
      </c>
      <c r="P83" s="339" t="e">
        <f>100*Ф83</f>
        <v>#NAME?</v>
      </c>
      <c r="Q83" s="339" t="e">
        <f>100*Г83</f>
        <v>#NAME?</v>
      </c>
    </row>
    <row r="84" spans="1:17" x14ac:dyDescent="0.25">
      <c r="B84" s="339">
        <v>0.25407776701934098</v>
      </c>
      <c r="C84" s="339">
        <v>0.15331270766450689</v>
      </c>
      <c r="D84" s="339">
        <v>0.40739047468384787</v>
      </c>
      <c r="E84" s="339">
        <v>0.16301159670392951</v>
      </c>
      <c r="F84" s="339">
        <v>0.25544483382429278</v>
      </c>
      <c r="G84" s="339">
        <v>0.41845643052822229</v>
      </c>
      <c r="K84" s="341"/>
      <c r="L84" s="339" t="e">
        <f>100*Б84</f>
        <v>#NAME?</v>
      </c>
      <c r="M84" s="339" t="e">
        <f>100*Ц84</f>
        <v>#NAME?</v>
      </c>
      <c r="N84" s="339" t="e">
        <f>100*Д84</f>
        <v>#NAME?</v>
      </c>
      <c r="O84" s="339" t="e">
        <f>100*Е84</f>
        <v>#NAME?</v>
      </c>
      <c r="P84" s="339" t="e">
        <f>100*Ф84</f>
        <v>#NAME?</v>
      </c>
      <c r="Q84" s="339" t="e">
        <f>100*Г84</f>
        <v>#NAME?</v>
      </c>
    </row>
    <row r="85" spans="1:17" x14ac:dyDescent="0.25">
      <c r="B85" s="339">
        <v>0.21508791329227098</v>
      </c>
      <c r="C85" s="339">
        <v>0.1475851914194623</v>
      </c>
      <c r="D85" s="339">
        <v>0.36267310471173331</v>
      </c>
      <c r="E85" s="339">
        <v>0.14016061281660316</v>
      </c>
      <c r="F85" s="339">
        <v>0.28328020403816634</v>
      </c>
      <c r="G85" s="339">
        <v>0.42344081685476953</v>
      </c>
      <c r="K85" s="341"/>
      <c r="L85" s="339" t="e">
        <f>100*Б85</f>
        <v>#NAME?</v>
      </c>
      <c r="M85" s="339" t="e">
        <f>100*Ц85</f>
        <v>#NAME?</v>
      </c>
      <c r="N85" s="339" t="e">
        <f>100*Д85</f>
        <v>#NAME?</v>
      </c>
      <c r="O85" s="339" t="e">
        <f>100*Е85</f>
        <v>#NAME?</v>
      </c>
      <c r="P85" s="339" t="e">
        <f>100*Ф85</f>
        <v>#NAME?</v>
      </c>
      <c r="Q85" s="339" t="e">
        <f>100*Г85</f>
        <v>#NAME?</v>
      </c>
    </row>
    <row r="86" spans="1:17" x14ac:dyDescent="0.25">
      <c r="B86" s="339">
        <v>0.18960008064481415</v>
      </c>
      <c r="C86" s="339">
        <v>0.149575049293035</v>
      </c>
      <c r="D86" s="339">
        <v>0.33917512993784915</v>
      </c>
      <c r="E86" s="339">
        <v>0.12434379754925154</v>
      </c>
      <c r="F86" s="339">
        <v>0.26196076412926234</v>
      </c>
      <c r="G86" s="339">
        <v>0.3863045616785139</v>
      </c>
      <c r="K86" s="341"/>
      <c r="L86" s="339" t="e">
        <f>100*Б86</f>
        <v>#NAME?</v>
      </c>
      <c r="M86" s="339" t="e">
        <f>100*Ц86</f>
        <v>#NAME?</v>
      </c>
      <c r="N86" s="339" t="e">
        <f>100*Д86</f>
        <v>#NAME?</v>
      </c>
      <c r="O86" s="339" t="e">
        <f>100*Е86</f>
        <v>#NAME?</v>
      </c>
      <c r="P86" s="339" t="e">
        <f>100*Ф86</f>
        <v>#NAME?</v>
      </c>
      <c r="Q86" s="339" t="e">
        <f>100*Г86</f>
        <v>#NAME?</v>
      </c>
    </row>
    <row r="87" spans="1:17" x14ac:dyDescent="0.25">
      <c r="A87" s="339">
        <v>0.75</v>
      </c>
      <c r="B87" s="339">
        <v>0.15387723921728946</v>
      </c>
      <c r="C87" s="339">
        <v>0.18211589783256954</v>
      </c>
      <c r="D87" s="339">
        <v>0.335993137049859</v>
      </c>
      <c r="E87" s="339">
        <v>9.5527869677189944E-2</v>
      </c>
      <c r="F87" s="339">
        <v>0.28464661779302358</v>
      </c>
      <c r="G87" s="339">
        <v>0.38017448747021354</v>
      </c>
      <c r="K87" s="341">
        <v>0.75</v>
      </c>
      <c r="L87" s="339" t="e">
        <f>100*Б87</f>
        <v>#NAME?</v>
      </c>
      <c r="M87" s="339" t="e">
        <f>100*Ц87</f>
        <v>#NAME?</v>
      </c>
      <c r="N87" s="339" t="e">
        <f>100*Д87</f>
        <v>#NAME?</v>
      </c>
      <c r="O87" s="339" t="e">
        <f>100*Е87</f>
        <v>#NAME?</v>
      </c>
      <c r="P87" s="339" t="e">
        <f>100*Ф87</f>
        <v>#NAME?</v>
      </c>
      <c r="Q87" s="339" t="e">
        <f>100*Г87</f>
        <v>#NAME?</v>
      </c>
    </row>
    <row r="88" spans="1:17" x14ac:dyDescent="0.25">
      <c r="B88" s="339">
        <v>0.14281383090052741</v>
      </c>
      <c r="C88" s="339">
        <v>0.16822883735641356</v>
      </c>
      <c r="D88" s="339">
        <v>0.31104266825694094</v>
      </c>
      <c r="E88" s="339">
        <v>9.275295857408955E-2</v>
      </c>
      <c r="F88" s="339">
        <v>0.27501042142185039</v>
      </c>
      <c r="G88" s="339">
        <v>0.36776337999593994</v>
      </c>
      <c r="K88" s="341"/>
      <c r="L88" s="339" t="e">
        <f>100*Б88</f>
        <v>#NAME?</v>
      </c>
      <c r="M88" s="339" t="e">
        <f>100*Ц88</f>
        <v>#NAME?</v>
      </c>
      <c r="N88" s="339" t="e">
        <f>100*Д88</f>
        <v>#NAME?</v>
      </c>
      <c r="O88" s="339" t="e">
        <f>100*Е88</f>
        <v>#NAME?</v>
      </c>
      <c r="P88" s="339" t="e">
        <f>100*Ф88</f>
        <v>#NAME?</v>
      </c>
      <c r="Q88" s="339" t="e">
        <f>100*Г88</f>
        <v>#NAME?</v>
      </c>
    </row>
    <row r="89" spans="1:17" x14ac:dyDescent="0.25">
      <c r="B89" s="339">
        <v>0.10074177693391237</v>
      </c>
      <c r="C89" s="339">
        <v>0.13791750040624015</v>
      </c>
      <c r="D89" s="339">
        <v>0.23865927734015252</v>
      </c>
      <c r="E89" s="339">
        <v>7.3009265086739689E-2</v>
      </c>
      <c r="F89" s="339">
        <v>0.24878204525299336</v>
      </c>
      <c r="G89" s="339">
        <v>0.32179131033973307</v>
      </c>
      <c r="K89" s="341"/>
      <c r="L89" s="339" t="e">
        <f>100*Б89</f>
        <v>#NAME?</v>
      </c>
      <c r="M89" s="339" t="e">
        <f>100*Ц89</f>
        <v>#NAME?</v>
      </c>
      <c r="N89" s="339" t="e">
        <f>100*Д89</f>
        <v>#NAME?</v>
      </c>
      <c r="O89" s="339" t="e">
        <f>100*Е89</f>
        <v>#NAME?</v>
      </c>
      <c r="P89" s="339" t="e">
        <f>100*Ф89</f>
        <v>#NAME?</v>
      </c>
      <c r="Q89" s="339" t="e">
        <f>100*Г89</f>
        <v>#NAME?</v>
      </c>
    </row>
    <row r="90" spans="1:17" x14ac:dyDescent="0.25">
      <c r="B90" s="339">
        <v>9.1540934716929728E-2</v>
      </c>
      <c r="C90" s="339">
        <v>0.11224219142336983</v>
      </c>
      <c r="D90" s="339">
        <v>0.20378312614029956</v>
      </c>
      <c r="E90" s="339">
        <v>6.7575966991157352E-2</v>
      </c>
      <c r="F90" s="339">
        <v>0.24168118178004852</v>
      </c>
      <c r="G90" s="339">
        <v>0.30925714877120586</v>
      </c>
      <c r="K90" s="341"/>
      <c r="L90" s="339" t="e">
        <f>100*Б90</f>
        <v>#NAME?</v>
      </c>
      <c r="M90" s="339" t="e">
        <f>100*Ц90</f>
        <v>#NAME?</v>
      </c>
      <c r="N90" s="339" t="e">
        <f>100*Д90</f>
        <v>#NAME?</v>
      </c>
      <c r="O90" s="339" t="e">
        <f>100*Е90</f>
        <v>#NAME?</v>
      </c>
      <c r="P90" s="339" t="e">
        <f>100*Ф90</f>
        <v>#NAME?</v>
      </c>
      <c r="Q90" s="339" t="e">
        <f>100*Г90</f>
        <v>#NAME?</v>
      </c>
    </row>
    <row r="91" spans="1:17" x14ac:dyDescent="0.25">
      <c r="A91" s="339">
        <v>0.83333333333333337</v>
      </c>
      <c r="B91" s="339">
        <v>7.3819857646004253E-2</v>
      </c>
      <c r="C91" s="339">
        <v>7.1569483099732725E-2</v>
      </c>
      <c r="D91" s="339">
        <v>0.14538934074573698</v>
      </c>
      <c r="E91" s="339">
        <v>6.3279834210882985E-2</v>
      </c>
      <c r="F91" s="339">
        <v>0.20029702805491376</v>
      </c>
      <c r="G91" s="339">
        <v>0.26357686226579674</v>
      </c>
      <c r="K91" s="341">
        <v>0.83333333333333337</v>
      </c>
      <c r="L91" s="339" t="e">
        <f>100*Б91</f>
        <v>#NAME?</v>
      </c>
      <c r="M91" s="339" t="e">
        <f>100*Ц91</f>
        <v>#NAME?</v>
      </c>
      <c r="N91" s="339" t="e">
        <f>100*Д91</f>
        <v>#NAME?</v>
      </c>
      <c r="O91" s="339" t="e">
        <f>100*Е91</f>
        <v>#NAME?</v>
      </c>
      <c r="P91" s="339" t="e">
        <f>100*Ф91</f>
        <v>#NAME?</v>
      </c>
      <c r="Q91" s="339" t="e">
        <f>100*Г91</f>
        <v>#NAME?</v>
      </c>
    </row>
    <row r="92" spans="1:17" x14ac:dyDescent="0.25">
      <c r="B92" s="339">
        <v>6.3303907028808393E-2</v>
      </c>
      <c r="C92" s="339">
        <v>6.2816665969414098E-2</v>
      </c>
      <c r="D92" s="339">
        <v>0.12612057299822249</v>
      </c>
      <c r="E92" s="339">
        <v>5.8831713896434351E-2</v>
      </c>
      <c r="F92" s="339">
        <v>0.16974050042653352</v>
      </c>
      <c r="G92" s="339">
        <v>0.22857221432296787</v>
      </c>
      <c r="K92" s="341"/>
      <c r="L92" s="339" t="e">
        <f>100*Б92</f>
        <v>#NAME?</v>
      </c>
      <c r="M92" s="339" t="e">
        <f>100*Ц92</f>
        <v>#NAME?</v>
      </c>
      <c r="N92" s="339" t="e">
        <f>100*Д92</f>
        <v>#NAME?</v>
      </c>
      <c r="O92" s="339" t="e">
        <f>100*Е92</f>
        <v>#NAME?</v>
      </c>
      <c r="P92" s="339" t="e">
        <f>100*Ф92</f>
        <v>#NAME?</v>
      </c>
      <c r="Q92" s="339" t="e">
        <f>100*Г92</f>
        <v>#NAME?</v>
      </c>
    </row>
    <row r="93" spans="1:17" x14ac:dyDescent="0.25">
      <c r="B93" s="339">
        <v>5.6484279164338028E-2</v>
      </c>
      <c r="C93" s="339">
        <v>4.167938839152343E-2</v>
      </c>
      <c r="D93" s="339">
        <v>9.816366755586145E-2</v>
      </c>
      <c r="E93" s="339">
        <v>4.7796910526033125E-2</v>
      </c>
      <c r="F93" s="339">
        <v>0.1303883748875575</v>
      </c>
      <c r="G93" s="339">
        <v>0.17818528541359063</v>
      </c>
      <c r="K93" s="341"/>
      <c r="L93" s="339" t="e">
        <f>100*Б93</f>
        <v>#NAME?</v>
      </c>
      <c r="M93" s="339" t="e">
        <f>100*Ц93</f>
        <v>#NAME?</v>
      </c>
      <c r="N93" s="339" t="e">
        <f>100*Д93</f>
        <v>#NAME?</v>
      </c>
      <c r="O93" s="339" t="e">
        <f>100*Е93</f>
        <v>#NAME?</v>
      </c>
      <c r="P93" s="339" t="e">
        <f>100*Ф93</f>
        <v>#NAME?</v>
      </c>
      <c r="Q93" s="339" t="e">
        <f>100*Г93</f>
        <v>#NAME?</v>
      </c>
    </row>
    <row r="94" spans="1:17" x14ac:dyDescent="0.25">
      <c r="B94" s="339">
        <v>5.3455381546174047E-2</v>
      </c>
      <c r="C94" s="339">
        <v>2.913789532558049E-2</v>
      </c>
      <c r="D94" s="339">
        <v>8.2593276871754537E-2</v>
      </c>
      <c r="E94" s="339">
        <v>5.140251966369408E-2</v>
      </c>
      <c r="F94" s="339">
        <v>0.10192949297808004</v>
      </c>
      <c r="G94" s="339">
        <v>0.15333201264177412</v>
      </c>
      <c r="K94" s="341"/>
      <c r="L94" s="339" t="e">
        <f>100*Б94</f>
        <v>#NAME?</v>
      </c>
      <c r="M94" s="339" t="e">
        <f>100*Ц94</f>
        <v>#NAME?</v>
      </c>
      <c r="N94" s="339" t="e">
        <f>100*Д94</f>
        <v>#NAME?</v>
      </c>
      <c r="O94" s="339" t="e">
        <f>100*Е94</f>
        <v>#NAME?</v>
      </c>
      <c r="P94" s="339" t="e">
        <f>100*Ф94</f>
        <v>#NAME?</v>
      </c>
      <c r="Q94" s="339" t="e">
        <f>100*Г94</f>
        <v>#NAME?</v>
      </c>
    </row>
    <row r="95" spans="1:17" x14ac:dyDescent="0.25">
      <c r="A95" s="339">
        <v>0.91666666666666663</v>
      </c>
      <c r="B95" s="339">
        <v>4.7414223411766848E-2</v>
      </c>
      <c r="C95" s="339">
        <v>2.259809411521576E-2</v>
      </c>
      <c r="D95" s="339">
        <v>7.0012317526982615E-2</v>
      </c>
      <c r="E95" s="339">
        <v>4.3716150429263037E-2</v>
      </c>
      <c r="F95" s="339">
        <v>6.6497229123768389E-2</v>
      </c>
      <c r="G95" s="339">
        <v>0.11021337955303143</v>
      </c>
      <c r="K95" s="341">
        <v>0.91666666666666663</v>
      </c>
      <c r="L95" s="339" t="e">
        <f>100*Б95</f>
        <v>#NAME?</v>
      </c>
      <c r="M95" s="339" t="e">
        <f>100*Ц95</f>
        <v>#NAME?</v>
      </c>
      <c r="N95" s="339" t="e">
        <f>100*Д95</f>
        <v>#NAME?</v>
      </c>
      <c r="O95" s="339" t="e">
        <f>100*Е95</f>
        <v>#NAME?</v>
      </c>
      <c r="P95" s="339" t="e">
        <f>100*Ф95</f>
        <v>#NAME?</v>
      </c>
      <c r="Q95" s="339" t="e">
        <f>100*Г95</f>
        <v>#NAME?</v>
      </c>
    </row>
    <row r="96" spans="1:17" x14ac:dyDescent="0.25">
      <c r="B96" s="339">
        <v>3.1107180355332918E-2</v>
      </c>
      <c r="C96" s="339">
        <v>1.6545857960732484E-2</v>
      </c>
      <c r="D96" s="339">
        <v>4.7653038316065405E-2</v>
      </c>
      <c r="E96" s="339">
        <v>2.8392153559844112E-2</v>
      </c>
      <c r="F96" s="339">
        <v>3.9895634438313607E-2</v>
      </c>
      <c r="G96" s="339">
        <v>6.8287787998157712E-2</v>
      </c>
      <c r="K96" s="341"/>
      <c r="L96" s="339" t="e">
        <f>100*Б96</f>
        <v>#NAME?</v>
      </c>
      <c r="M96" s="339" t="e">
        <f>100*Ц96</f>
        <v>#NAME?</v>
      </c>
      <c r="N96" s="339" t="e">
        <f>100*Д96</f>
        <v>#NAME?</v>
      </c>
      <c r="O96" s="339" t="e">
        <f>100*Е96</f>
        <v>#NAME?</v>
      </c>
      <c r="P96" s="339" t="e">
        <f>100*Ф96</f>
        <v>#NAME?</v>
      </c>
      <c r="Q96" s="339" t="e">
        <f>100*Г96</f>
        <v>#NAME?</v>
      </c>
    </row>
    <row r="97" spans="1:17" x14ac:dyDescent="0.25">
      <c r="B97" s="339">
        <v>2.1656028478841283E-2</v>
      </c>
      <c r="C97" s="339">
        <v>8.3912748824740598E-3</v>
      </c>
      <c r="D97" s="339">
        <v>3.0047303361315343E-2</v>
      </c>
      <c r="E97" s="339">
        <v>2.4390118774464974E-2</v>
      </c>
      <c r="F97" s="339">
        <v>2.5648320495707057E-2</v>
      </c>
      <c r="G97" s="339">
        <v>5.0038439270172028E-2</v>
      </c>
      <c r="K97" s="341"/>
      <c r="L97" s="339" t="e">
        <f>100*Б97</f>
        <v>#NAME?</v>
      </c>
      <c r="M97" s="339" t="e">
        <f>100*Ц97</f>
        <v>#NAME?</v>
      </c>
      <c r="N97" s="339" t="e">
        <f>100*Д97</f>
        <v>#NAME?</v>
      </c>
      <c r="O97" s="339" t="e">
        <f>100*Е97</f>
        <v>#NAME?</v>
      </c>
      <c r="P97" s="339" t="e">
        <f>100*Ф97</f>
        <v>#NAME?</v>
      </c>
      <c r="Q97" s="339" t="e">
        <f>100*Г97</f>
        <v>#NAME?</v>
      </c>
    </row>
    <row r="98" spans="1:17" x14ac:dyDescent="0.25">
      <c r="B98" s="339">
        <v>1.8455690804384813E-2</v>
      </c>
      <c r="C98" s="339">
        <v>2.9277860388374904E-3</v>
      </c>
      <c r="D98" s="339">
        <v>2.1383476843222303E-2</v>
      </c>
      <c r="E98" s="339">
        <v>1.8182046099359465E-2</v>
      </c>
      <c r="F98" s="339">
        <v>1.2727544334337955E-2</v>
      </c>
      <c r="G98" s="339">
        <v>3.0909590433697419E-2</v>
      </c>
      <c r="K98" s="341"/>
      <c r="L98" s="339" t="e">
        <f>100*Б98</f>
        <v>#NAME?</v>
      </c>
      <c r="M98" s="339" t="e">
        <f>100*Ц98</f>
        <v>#NAME?</v>
      </c>
      <c r="N98" s="339" t="e">
        <f>100*Д98</f>
        <v>#NAME?</v>
      </c>
      <c r="O98" s="339" t="e">
        <f>100*Е98</f>
        <v>#NAME?</v>
      </c>
      <c r="P98" s="339" t="e">
        <f>100*Ф98</f>
        <v>#NAME?</v>
      </c>
      <c r="Q98" s="339" t="e">
        <f>100*Г98</f>
        <v>#NAME?</v>
      </c>
    </row>
    <row r="99" spans="1:17" x14ac:dyDescent="0.25">
      <c r="A99" s="339" t="s">
        <v>5</v>
      </c>
      <c r="B99" s="339">
        <v>1.7227120851958787E-2</v>
      </c>
      <c r="C99" s="339">
        <v>8.9383150717048864E-4</v>
      </c>
      <c r="D99" s="339">
        <v>1.8120952359129274E-2</v>
      </c>
      <c r="E99" s="339">
        <v>9.5826705662119867E-3</v>
      </c>
      <c r="F99" s="339">
        <v>4.7546937616346407E-3</v>
      </c>
      <c r="G99" s="339">
        <v>1.4337364327846627E-2</v>
      </c>
      <c r="K99" s="341" t="s">
        <v>5</v>
      </c>
      <c r="L99" s="339" t="e">
        <f>100*Б99</f>
        <v>#NAME?</v>
      </c>
      <c r="M99" s="339" t="e">
        <f>100*Ц99</f>
        <v>#NAME?</v>
      </c>
      <c r="N99" s="339" t="e">
        <f>100*Д99</f>
        <v>#NAME?</v>
      </c>
      <c r="O99" s="339" t="e">
        <f>100*Е99</f>
        <v>#NAME?</v>
      </c>
      <c r="P99" s="339" t="e">
        <f>100*Ф99</f>
        <v>#NAME?</v>
      </c>
      <c r="Q99" s="339" t="e">
        <f>100*Г99</f>
        <v>#NAME?</v>
      </c>
    </row>
    <row r="100" spans="1:17" x14ac:dyDescent="0.25">
      <c r="B100" s="339">
        <v>1.5724492333416825E-2</v>
      </c>
      <c r="C100" s="339">
        <v>5.3803880885094631E-4</v>
      </c>
      <c r="D100" s="339">
        <v>1.6262531142267771E-2</v>
      </c>
      <c r="E100" s="339">
        <v>7.1786758319578947E-3</v>
      </c>
      <c r="F100" s="339">
        <v>3.8847480125782418E-3</v>
      </c>
      <c r="G100" s="339">
        <v>1.1063423844536137E-2</v>
      </c>
      <c r="K100" s="341"/>
      <c r="L100" s="339" t="e">
        <f>100*Б100</f>
        <v>#NAME?</v>
      </c>
      <c r="M100" s="339" t="e">
        <f>100*Ц100</f>
        <v>#NAME?</v>
      </c>
      <c r="N100" s="339" t="e">
        <f>100*Д100</f>
        <v>#NAME?</v>
      </c>
      <c r="O100" s="339" t="e">
        <f>100*Е100</f>
        <v>#NAME?</v>
      </c>
      <c r="P100" s="339" t="e">
        <f>100*Ф100</f>
        <v>#NAME?</v>
      </c>
      <c r="Q100" s="339" t="e">
        <f>100*Г100</f>
        <v>#NAME?</v>
      </c>
    </row>
    <row r="101" spans="1:17" x14ac:dyDescent="0.25">
      <c r="B101" s="339">
        <v>1.1857448831971868E-2</v>
      </c>
      <c r="C101" s="339">
        <v>7.4706696591678721E-4</v>
      </c>
      <c r="D101" s="339">
        <v>1.2604515797888655E-2</v>
      </c>
      <c r="E101" s="339">
        <v>2.3228766663169159E-3</v>
      </c>
      <c r="F101" s="339">
        <v>1.7450029432764858E-3</v>
      </c>
      <c r="G101" s="339">
        <v>4.0678796095934017E-3</v>
      </c>
      <c r="K101" s="341"/>
      <c r="L101" s="339" t="e">
        <f>100*Б101</f>
        <v>#NAME?</v>
      </c>
      <c r="M101" s="339" t="e">
        <f>100*Ц101</f>
        <v>#NAME?</v>
      </c>
      <c r="N101" s="339" t="e">
        <f>100*Д101</f>
        <v>#NAME?</v>
      </c>
      <c r="O101" s="339" t="e">
        <f>100*Е101</f>
        <v>#NAME?</v>
      </c>
      <c r="P101" s="339" t="e">
        <f>100*Ф101</f>
        <v>#NAME?</v>
      </c>
      <c r="Q101" s="339" t="e">
        <f>100*Г101</f>
        <v>#NAME?</v>
      </c>
    </row>
    <row r="102" spans="1:17" x14ac:dyDescent="0.25">
      <c r="B102" s="339">
        <v>1.1436309652393766E-2</v>
      </c>
      <c r="C102" s="339">
        <v>0</v>
      </c>
      <c r="D102" s="339">
        <v>1.1436309652393766E-2</v>
      </c>
      <c r="E102" s="339">
        <v>2.3228766663169159E-3</v>
      </c>
      <c r="F102" s="339">
        <v>1.4056372480552471E-3</v>
      </c>
      <c r="G102" s="339">
        <v>3.7285139143721632E-3</v>
      </c>
      <c r="K102" s="341"/>
      <c r="L102" s="339" t="e">
        <f>100*Б102</f>
        <v>#NAME?</v>
      </c>
      <c r="M102" s="339" t="e">
        <f>100*Ц102</f>
        <v>#NAME?</v>
      </c>
      <c r="N102" s="339" t="e">
        <f>100*Д102</f>
        <v>#NAME?</v>
      </c>
      <c r="O102" s="339" t="e">
        <f>100*Е102</f>
        <v>#NAME?</v>
      </c>
      <c r="P102" s="339" t="e">
        <f>100*Ф102</f>
        <v>#NAME?</v>
      </c>
      <c r="Q102" s="339" t="e">
        <f>100*Г102</f>
        <v>#NAME?</v>
      </c>
    </row>
    <row r="103" spans="1:17" x14ac:dyDescent="0.25">
      <c r="A103" s="339">
        <v>8.3333333333333329E-2</v>
      </c>
      <c r="B103" s="339">
        <v>1.1110381866055079E-2</v>
      </c>
      <c r="C103" s="339">
        <v>5.7545988607249441E-4</v>
      </c>
      <c r="D103" s="339">
        <v>1.1685841752127574E-2</v>
      </c>
      <c r="E103" s="339">
        <v>1.9980226913497616E-3</v>
      </c>
      <c r="F103" s="339">
        <v>1.9792888325515143E-3</v>
      </c>
      <c r="G103" s="339">
        <v>3.9773115239012755E-3</v>
      </c>
      <c r="K103" s="341">
        <v>8.3333333333333329E-2</v>
      </c>
      <c r="L103" s="339" t="e">
        <f>100*Б103</f>
        <v>#NAME?</v>
      </c>
      <c r="M103" s="339" t="e">
        <f>100*Ц103</f>
        <v>#NAME?</v>
      </c>
      <c r="N103" s="339" t="e">
        <f>100*Д103</f>
        <v>#NAME?</v>
      </c>
      <c r="O103" s="339" t="e">
        <f>100*Е103</f>
        <v>#NAME?</v>
      </c>
      <c r="P103" s="339" t="e">
        <f>100*Ф103</f>
        <v>#NAME?</v>
      </c>
      <c r="Q103" s="339" t="e">
        <f>100*Г103</f>
        <v>#NAME?</v>
      </c>
    </row>
    <row r="104" spans="1:17" x14ac:dyDescent="0.25">
      <c r="B104" s="339">
        <v>9.7136207321728493E-3</v>
      </c>
      <c r="C104" s="339">
        <v>5.7545988607249441E-4</v>
      </c>
      <c r="D104" s="339">
        <v>1.0289080618245343E-2</v>
      </c>
      <c r="E104" s="339">
        <v>1.1666472096020972E-3</v>
      </c>
      <c r="F104" s="339">
        <v>6.6854929144980824E-4</v>
      </c>
      <c r="G104" s="339">
        <v>1.8351965010519056E-3</v>
      </c>
      <c r="K104" s="341"/>
      <c r="L104" s="339" t="e">
        <f>100*Б104</f>
        <v>#NAME?</v>
      </c>
      <c r="M104" s="339" t="e">
        <f>100*Ц104</f>
        <v>#NAME?</v>
      </c>
      <c r="N104" s="339" t="e">
        <f>100*Д104</f>
        <v>#NAME?</v>
      </c>
      <c r="O104" s="339" t="e">
        <f>100*Е104</f>
        <v>#NAME?</v>
      </c>
      <c r="P104" s="339" t="e">
        <f>100*Ф104</f>
        <v>#NAME?</v>
      </c>
      <c r="Q104" s="339" t="e">
        <f>100*Г104</f>
        <v>#NAME?</v>
      </c>
    </row>
    <row r="105" spans="1:17" x14ac:dyDescent="0.25">
      <c r="B105" s="339">
        <v>9.3958881961414761E-3</v>
      </c>
      <c r="C105" s="339">
        <v>0</v>
      </c>
      <c r="D105" s="339">
        <v>9.3958881961414761E-3</v>
      </c>
      <c r="E105" s="339">
        <v>1.1666472096020972E-3</v>
      </c>
      <c r="F105" s="339">
        <v>0</v>
      </c>
      <c r="G105" s="339">
        <v>1.1666472096020972E-3</v>
      </c>
      <c r="K105" s="341"/>
      <c r="L105" s="339" t="e">
        <f>100*Б105</f>
        <v>#NAME?</v>
      </c>
      <c r="M105" s="339" t="e">
        <f>100*Ц105</f>
        <v>#NAME?</v>
      </c>
      <c r="N105" s="339" t="e">
        <f>100*Д105</f>
        <v>#NAME?</v>
      </c>
      <c r="O105" s="339" t="e">
        <f>100*Е105</f>
        <v>#NAME?</v>
      </c>
      <c r="P105" s="339" t="e">
        <f>100*Ф105</f>
        <v>#NAME?</v>
      </c>
      <c r="Q105" s="339" t="e">
        <f>100*Г105</f>
        <v>#NAME?</v>
      </c>
    </row>
    <row r="106" spans="1:17" x14ac:dyDescent="0.25">
      <c r="A106" s="339" t="s">
        <v>6</v>
      </c>
      <c r="B106" s="339">
        <v>1.0605564864296889E-2</v>
      </c>
      <c r="C106" s="339">
        <v>0</v>
      </c>
      <c r="D106" s="339">
        <v>1.0605564864296889E-2</v>
      </c>
      <c r="E106" s="339">
        <v>1.1666472096020972E-3</v>
      </c>
      <c r="F106" s="339">
        <v>8.313754817476642E-4</v>
      </c>
      <c r="G106" s="339">
        <v>1.9980226913497616E-3</v>
      </c>
      <c r="K106" s="341" t="s">
        <v>6</v>
      </c>
      <c r="L106" s="339" t="e">
        <f>100*Б106</f>
        <v>#NAME?</v>
      </c>
      <c r="M106" s="339" t="e">
        <f>100*Ц106</f>
        <v>#NAME?</v>
      </c>
      <c r="N106" s="339" t="e">
        <f>100*Д106</f>
        <v>#NAME?</v>
      </c>
      <c r="O106" s="339" t="e">
        <f>100*Е106</f>
        <v>#NAME?</v>
      </c>
      <c r="P106" s="339" t="e">
        <f>100*Ф106</f>
        <v>#NAME?</v>
      </c>
      <c r="Q106" s="339" t="e">
        <f>100*Г106</f>
        <v>#NAME?</v>
      </c>
    </row>
  </sheetData>
  <autoFilter ref="I6:I39"/>
  <mergeCells count="6">
    <mergeCell ref="AC3:AM4"/>
    <mergeCell ref="A4:A5"/>
    <mergeCell ref="A3:C3"/>
    <mergeCell ref="E3:G3"/>
    <mergeCell ref="B4:C4"/>
    <mergeCell ref="E4:F4"/>
  </mergeCell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42"/>
  <sheetViews>
    <sheetView workbookViewId="0">
      <selection activeCell="F27" sqref="F27"/>
    </sheetView>
  </sheetViews>
  <sheetFormatPr defaultRowHeight="15" x14ac:dyDescent="0.25"/>
  <cols>
    <col min="1" max="1" width="35.28515625" customWidth="1"/>
    <col min="2" max="2" width="11" customWidth="1"/>
    <col min="3" max="3" width="16" customWidth="1"/>
    <col min="4" max="4" width="18" customWidth="1"/>
    <col min="5" max="5" width="8.140625" customWidth="1"/>
    <col min="6" max="10" width="13.5703125" customWidth="1"/>
    <col min="11" max="11" width="15" customWidth="1"/>
    <col min="12" max="12" width="10.42578125" customWidth="1"/>
    <col min="13" max="13" width="10" customWidth="1"/>
    <col min="23" max="23" width="12" customWidth="1"/>
  </cols>
  <sheetData>
    <row r="1" spans="1:23" ht="18" customHeight="1" x14ac:dyDescent="0.25">
      <c r="B1" s="373"/>
      <c r="C1" s="373"/>
      <c r="D1" s="373"/>
      <c r="E1" s="373"/>
      <c r="F1" s="373"/>
      <c r="G1" s="373"/>
      <c r="H1" s="373"/>
      <c r="I1" s="373"/>
      <c r="J1" s="373"/>
      <c r="K1" s="373"/>
    </row>
    <row r="2" spans="1:23" ht="15" customHeight="1" x14ac:dyDescent="0.25">
      <c r="A2" s="373"/>
      <c r="B2" s="373"/>
      <c r="C2" s="373"/>
      <c r="D2" s="373"/>
      <c r="E2" s="373"/>
      <c r="F2" s="373"/>
      <c r="G2" s="373"/>
      <c r="H2" s="373"/>
      <c r="I2" s="373"/>
      <c r="J2" s="373"/>
      <c r="K2" s="373"/>
    </row>
    <row r="3" spans="1:23" hidden="1" x14ac:dyDescent="0.25"/>
    <row r="4" spans="1:23" ht="15.75" hidden="1" thickBot="1" x14ac:dyDescent="0.3">
      <c r="A4" s="1409" t="s">
        <v>324</v>
      </c>
      <c r="B4" s="1409"/>
      <c r="C4" s="1409"/>
      <c r="D4" s="1409"/>
      <c r="E4" s="1409"/>
      <c r="F4" s="1409"/>
      <c r="G4" s="1409"/>
      <c r="H4" s="1409"/>
      <c r="I4" s="1409"/>
      <c r="J4" s="1409"/>
      <c r="K4" s="1409"/>
    </row>
    <row r="5" spans="1:23" ht="18" hidden="1" customHeight="1" thickTop="1" thickBot="1" x14ac:dyDescent="0.3">
      <c r="A5" s="1410"/>
      <c r="B5" s="1411"/>
      <c r="C5" s="1416" t="s">
        <v>60</v>
      </c>
      <c r="D5" s="1417"/>
      <c r="E5" s="1417"/>
      <c r="F5" s="1417" t="s">
        <v>59</v>
      </c>
      <c r="G5" s="1417"/>
      <c r="H5" s="1417"/>
      <c r="I5" s="1417" t="s">
        <v>83</v>
      </c>
      <c r="J5" s="1417"/>
      <c r="K5" s="1418"/>
    </row>
    <row r="6" spans="1:23" ht="15" hidden="1" customHeight="1" thickTop="1" x14ac:dyDescent="0.25">
      <c r="A6" s="1412"/>
      <c r="B6" s="1413"/>
      <c r="C6" s="85" t="s">
        <v>11</v>
      </c>
      <c r="D6" s="86" t="s">
        <v>12</v>
      </c>
      <c r="E6" s="86" t="s">
        <v>83</v>
      </c>
      <c r="F6" s="86" t="s">
        <v>11</v>
      </c>
      <c r="G6" s="86" t="s">
        <v>12</v>
      </c>
      <c r="H6" s="86" t="s">
        <v>83</v>
      </c>
      <c r="I6" s="86" t="s">
        <v>11</v>
      </c>
      <c r="J6" s="92" t="s">
        <v>12</v>
      </c>
      <c r="K6" s="93" t="s">
        <v>83</v>
      </c>
    </row>
    <row r="7" spans="1:23" ht="15" hidden="1" customHeight="1" thickBot="1" x14ac:dyDescent="0.3">
      <c r="A7" s="1414"/>
      <c r="B7" s="1415"/>
      <c r="C7" s="87" t="s">
        <v>272</v>
      </c>
      <c r="D7" s="88" t="s">
        <v>272</v>
      </c>
      <c r="E7" s="88" t="s">
        <v>272</v>
      </c>
      <c r="F7" s="88" t="s">
        <v>272</v>
      </c>
      <c r="G7" s="88" t="s">
        <v>272</v>
      </c>
      <c r="H7" s="88" t="s">
        <v>272</v>
      </c>
      <c r="I7" s="88" t="s">
        <v>272</v>
      </c>
      <c r="J7" s="94" t="s">
        <v>272</v>
      </c>
      <c r="K7" s="95" t="s">
        <v>272</v>
      </c>
    </row>
    <row r="8" spans="1:23" ht="16.5" hidden="1" thickTop="1" thickBot="1" x14ac:dyDescent="0.3">
      <c r="A8" s="1419" t="s">
        <v>317</v>
      </c>
      <c r="B8" s="1420"/>
      <c r="C8" s="96">
        <v>1.9689401580873422</v>
      </c>
      <c r="D8" s="97">
        <v>3.6466797426505302</v>
      </c>
      <c r="E8" s="97">
        <v>2.9298818153642108</v>
      </c>
      <c r="F8" s="97">
        <v>2.16074610435086</v>
      </c>
      <c r="G8" s="97">
        <v>4.2268771107487408</v>
      </c>
      <c r="H8" s="97">
        <v>3.4356793487718469</v>
      </c>
      <c r="I8" s="82">
        <v>1.9961222452903664</v>
      </c>
      <c r="J8" s="98">
        <v>3.742761553234343</v>
      </c>
      <c r="K8" s="99">
        <v>3.0085645793096165</v>
      </c>
    </row>
    <row r="9" spans="1:23" ht="15" hidden="1" customHeight="1" x14ac:dyDescent="0.25">
      <c r="A9" s="1421" t="s">
        <v>318</v>
      </c>
      <c r="B9" s="1422"/>
      <c r="C9" s="103">
        <v>1.4606884160972355</v>
      </c>
      <c r="D9" s="104">
        <v>1.3028049538388147</v>
      </c>
      <c r="E9" s="104">
        <v>1.3702591282177814</v>
      </c>
      <c r="F9" s="104">
        <v>2.6232203141171375</v>
      </c>
      <c r="G9" s="104">
        <v>4.7908746262940234</v>
      </c>
      <c r="H9" s="104">
        <v>3.9607998463196634</v>
      </c>
      <c r="I9" s="83">
        <v>1.6254384879477846</v>
      </c>
      <c r="J9" s="105">
        <v>1.8804360635257034</v>
      </c>
      <c r="K9" s="106">
        <v>1.7732482500510227</v>
      </c>
      <c r="M9" s="100" t="s">
        <v>325</v>
      </c>
      <c r="N9" s="101"/>
      <c r="O9" s="101"/>
      <c r="P9" s="101"/>
      <c r="Q9" s="101"/>
      <c r="R9" s="101"/>
      <c r="S9" s="101"/>
      <c r="T9" s="101"/>
      <c r="U9" s="101"/>
      <c r="V9" s="101"/>
      <c r="W9" s="102"/>
    </row>
    <row r="10" spans="1:23" ht="15" hidden="1" customHeight="1" x14ac:dyDescent="0.25">
      <c r="A10" s="1421" t="s">
        <v>220</v>
      </c>
      <c r="B10" s="1422"/>
      <c r="C10" s="103">
        <v>32.910937241879388</v>
      </c>
      <c r="D10" s="104">
        <v>45.243503482242396</v>
      </c>
      <c r="E10" s="104">
        <v>39.974534447626098</v>
      </c>
      <c r="F10" s="104">
        <v>46.981694550754945</v>
      </c>
      <c r="G10" s="104">
        <v>45.558378123136684</v>
      </c>
      <c r="H10" s="104">
        <v>46.10341847567453</v>
      </c>
      <c r="I10" s="83">
        <v>34.904997173978792</v>
      </c>
      <c r="J10" s="105">
        <v>45.295647334089331</v>
      </c>
      <c r="K10" s="106">
        <v>40.927954548311021</v>
      </c>
      <c r="M10" s="107" t="s">
        <v>289</v>
      </c>
      <c r="N10" s="108"/>
      <c r="O10" s="108"/>
      <c r="P10" s="108"/>
      <c r="Q10" s="108"/>
      <c r="R10" s="108"/>
      <c r="S10" s="108"/>
      <c r="T10" s="108"/>
      <c r="U10" s="108"/>
      <c r="V10" s="108"/>
      <c r="W10" s="109"/>
    </row>
    <row r="11" spans="1:23" ht="15" hidden="1" customHeight="1" x14ac:dyDescent="0.25">
      <c r="A11" s="1421" t="s">
        <v>319</v>
      </c>
      <c r="B11" s="1422"/>
      <c r="C11" s="103">
        <v>355.13853157222161</v>
      </c>
      <c r="D11" s="104">
        <v>378.15600559509278</v>
      </c>
      <c r="E11" s="104">
        <v>368.32201358419502</v>
      </c>
      <c r="F11" s="104">
        <v>261.42310422620011</v>
      </c>
      <c r="G11" s="104">
        <v>300.03216459410095</v>
      </c>
      <c r="H11" s="104">
        <v>285.24733146371227</v>
      </c>
      <c r="I11" s="83">
        <v>341.85749952909231</v>
      </c>
      <c r="J11" s="105">
        <v>365.21854585145195</v>
      </c>
      <c r="K11" s="106">
        <v>355.39876827082367</v>
      </c>
      <c r="M11" s="107" t="s">
        <v>306</v>
      </c>
      <c r="N11" s="108"/>
      <c r="O11" s="108"/>
      <c r="P11" s="108"/>
      <c r="Q11" s="108"/>
      <c r="R11" s="108"/>
      <c r="S11" s="108"/>
      <c r="T11" s="108"/>
      <c r="U11" s="108"/>
      <c r="V11" s="108"/>
      <c r="W11" s="109"/>
    </row>
    <row r="12" spans="1:23" ht="15" hidden="1" customHeight="1" thickBot="1" x14ac:dyDescent="0.3">
      <c r="A12" s="1421" t="s">
        <v>64</v>
      </c>
      <c r="B12" s="1422"/>
      <c r="C12" s="103">
        <v>1.5964114867995978</v>
      </c>
      <c r="D12" s="104">
        <v>4.8077993959734018</v>
      </c>
      <c r="E12" s="104">
        <v>3.4357651314260433</v>
      </c>
      <c r="F12" s="104">
        <v>2.2187428982149324</v>
      </c>
      <c r="G12" s="104">
        <v>3.5796904601109185</v>
      </c>
      <c r="H12" s="104">
        <v>3.0585334464434766</v>
      </c>
      <c r="I12" s="83">
        <v>1.6846061805711579</v>
      </c>
      <c r="J12" s="105">
        <v>4.6044221718770482</v>
      </c>
      <c r="K12" s="106">
        <v>3.377082299538281</v>
      </c>
      <c r="M12" s="110"/>
      <c r="N12" s="111"/>
      <c r="O12" s="111"/>
      <c r="P12" s="111"/>
      <c r="Q12" s="111"/>
      <c r="R12" s="111"/>
      <c r="S12" s="111"/>
      <c r="T12" s="111"/>
      <c r="U12" s="111"/>
      <c r="V12" s="111"/>
      <c r="W12" s="112"/>
    </row>
    <row r="13" spans="1:23" ht="15" hidden="1" customHeight="1" x14ac:dyDescent="0.25">
      <c r="A13" s="1421" t="s">
        <v>300</v>
      </c>
      <c r="B13" s="1422"/>
      <c r="C13" s="115">
        <v>0.29444997602781875</v>
      </c>
      <c r="D13" s="104">
        <v>1.4021459380323125</v>
      </c>
      <c r="E13" s="116">
        <v>0.92889360678033916</v>
      </c>
      <c r="F13" s="116">
        <v>0.39641181079026977</v>
      </c>
      <c r="G13" s="104">
        <v>1.7575684006222219</v>
      </c>
      <c r="H13" s="104">
        <v>1.2363313424490774</v>
      </c>
      <c r="I13" s="84">
        <v>0.30889966091968274</v>
      </c>
      <c r="J13" s="105">
        <v>1.4610045878737143</v>
      </c>
      <c r="K13" s="117">
        <v>0.9767191677722239</v>
      </c>
      <c r="M13" s="113" t="s">
        <v>307</v>
      </c>
      <c r="N13" s="114"/>
      <c r="O13" s="114"/>
      <c r="P13" s="114"/>
      <c r="Q13" s="114"/>
      <c r="R13" s="114"/>
      <c r="S13" s="114"/>
      <c r="T13" s="114"/>
      <c r="U13" s="114"/>
    </row>
    <row r="14" spans="1:23" ht="15" hidden="1" customHeight="1" x14ac:dyDescent="0.25">
      <c r="A14" s="1421" t="s">
        <v>320</v>
      </c>
      <c r="B14" s="1422"/>
      <c r="C14" s="115">
        <v>7.4000718908306742E-2</v>
      </c>
      <c r="D14" s="116">
        <v>8.1918567174026805E-2</v>
      </c>
      <c r="E14" s="116">
        <v>7.8535743476204109E-2</v>
      </c>
      <c r="F14" s="104">
        <v>0</v>
      </c>
      <c r="G14" s="104">
        <v>0</v>
      </c>
      <c r="H14" s="104">
        <v>0</v>
      </c>
      <c r="I14" s="84">
        <v>6.3513588380618283E-2</v>
      </c>
      <c r="J14" s="119">
        <v>6.8352693408843104E-2</v>
      </c>
      <c r="K14" s="117">
        <v>6.6318583531624994E-2</v>
      </c>
      <c r="M14" s="118" t="s">
        <v>290</v>
      </c>
      <c r="N14" s="114"/>
      <c r="O14" s="114"/>
      <c r="P14" s="114"/>
      <c r="Q14" s="114"/>
      <c r="R14" s="114"/>
      <c r="S14" s="114"/>
      <c r="T14" s="114"/>
      <c r="U14" s="114"/>
    </row>
    <row r="15" spans="1:23" ht="15" hidden="1" customHeight="1" x14ac:dyDescent="0.25">
      <c r="A15" s="1421" t="s">
        <v>281</v>
      </c>
      <c r="B15" s="1422"/>
      <c r="C15" s="103">
        <v>0</v>
      </c>
      <c r="D15" s="116">
        <v>4.0700752951832446E-2</v>
      </c>
      <c r="E15" s="116">
        <v>2.3311751927301165E-2</v>
      </c>
      <c r="F15" s="104">
        <v>0</v>
      </c>
      <c r="G15" s="104">
        <v>5.1974119614581342</v>
      </c>
      <c r="H15" s="104">
        <v>3.2071312390624835</v>
      </c>
      <c r="I15" s="83">
        <v>0</v>
      </c>
      <c r="J15" s="119">
        <v>0.89466214060027549</v>
      </c>
      <c r="K15" s="117">
        <v>0.51859237432039407</v>
      </c>
      <c r="M15" s="118" t="s">
        <v>326</v>
      </c>
      <c r="N15" s="114"/>
      <c r="O15" s="114"/>
      <c r="P15" s="114"/>
      <c r="Q15" s="114"/>
      <c r="R15" s="114"/>
      <c r="S15" s="114"/>
      <c r="T15" s="114"/>
      <c r="U15" s="114"/>
    </row>
    <row r="16" spans="1:23" ht="15" hidden="1" customHeight="1" x14ac:dyDescent="0.25">
      <c r="A16" s="1421" t="s">
        <v>321</v>
      </c>
      <c r="B16" s="1422"/>
      <c r="C16" s="103">
        <v>5.5999485913302376</v>
      </c>
      <c r="D16" s="104">
        <v>10.502442944682025</v>
      </c>
      <c r="E16" s="104">
        <v>8.4078998920244246</v>
      </c>
      <c r="F16" s="104">
        <v>8.6893983828674024</v>
      </c>
      <c r="G16" s="104">
        <v>17.114285391533944</v>
      </c>
      <c r="H16" s="104">
        <v>13.88808544316459</v>
      </c>
      <c r="I16" s="83">
        <v>6.0377749219464993</v>
      </c>
      <c r="J16" s="105">
        <v>11.597376890471502</v>
      </c>
      <c r="K16" s="106">
        <v>9.2604073038188677</v>
      </c>
      <c r="M16" t="s">
        <v>327</v>
      </c>
    </row>
    <row r="17" spans="1:15" ht="15" hidden="1" customHeight="1" x14ac:dyDescent="0.25">
      <c r="A17" s="1421" t="s">
        <v>282</v>
      </c>
      <c r="B17" s="1422"/>
      <c r="C17" s="115">
        <v>0.1952662293252386</v>
      </c>
      <c r="D17" s="116">
        <v>2.9697131371659594E-2</v>
      </c>
      <c r="E17" s="116">
        <v>0.10043491888514339</v>
      </c>
      <c r="F17" s="116">
        <v>0.67013883025906107</v>
      </c>
      <c r="G17" s="104">
        <v>0</v>
      </c>
      <c r="H17" s="116">
        <v>0.25662087305836623</v>
      </c>
      <c r="I17" s="84">
        <v>0.26256356134422287</v>
      </c>
      <c r="J17" s="119">
        <v>2.4779228760885733E-2</v>
      </c>
      <c r="K17" s="117">
        <v>0.12473148372009821</v>
      </c>
    </row>
    <row r="18" spans="1:15" ht="15" hidden="1" customHeight="1" x14ac:dyDescent="0.25">
      <c r="A18" s="1421" t="s">
        <v>322</v>
      </c>
      <c r="B18" s="1422"/>
      <c r="C18" s="115">
        <v>1.1251578018490103E-2</v>
      </c>
      <c r="D18" s="116">
        <v>0.10691255338340688</v>
      </c>
      <c r="E18" s="116">
        <v>6.6042331631076881E-2</v>
      </c>
      <c r="F18" s="116">
        <v>0.13335453390482394</v>
      </c>
      <c r="G18" s="116">
        <v>2.1705928667416947E-2</v>
      </c>
      <c r="H18" s="116">
        <v>6.4460297252052295E-2</v>
      </c>
      <c r="I18" s="84">
        <v>2.855559418329558E-2</v>
      </c>
      <c r="J18" s="119">
        <v>9.2802170905660605E-2</v>
      </c>
      <c r="K18" s="117">
        <v>6.579622754915343E-2</v>
      </c>
    </row>
    <row r="19" spans="1:15" ht="15" hidden="1" customHeight="1" x14ac:dyDescent="0.25">
      <c r="A19" s="1421" t="s">
        <v>305</v>
      </c>
      <c r="B19" s="1422"/>
      <c r="C19" s="115">
        <v>5.4476687534455157E-2</v>
      </c>
      <c r="D19" s="104">
        <v>2.0598475243320404</v>
      </c>
      <c r="E19" s="104">
        <v>1.2030723296100336</v>
      </c>
      <c r="F19" s="104">
        <v>0</v>
      </c>
      <c r="G19" s="116">
        <v>8.8777603221315185E-2</v>
      </c>
      <c r="H19" s="116">
        <v>5.4781384799117559E-2</v>
      </c>
      <c r="I19" s="84">
        <v>4.6756436416383815E-2</v>
      </c>
      <c r="J19" s="105">
        <v>1.7334345186536835</v>
      </c>
      <c r="K19" s="106">
        <v>1.024442147800934</v>
      </c>
    </row>
    <row r="20" spans="1:15" ht="15" hidden="1" customHeight="1" x14ac:dyDescent="0.25">
      <c r="A20" s="1421" t="s">
        <v>283</v>
      </c>
      <c r="B20" s="1422"/>
      <c r="C20" s="115">
        <v>0.10556114366009574</v>
      </c>
      <c r="D20" s="104">
        <v>2.8759173784013794</v>
      </c>
      <c r="E20" s="104">
        <v>1.6923096092467231</v>
      </c>
      <c r="F20" s="116">
        <v>5.9605525592919824E-2</v>
      </c>
      <c r="G20" s="104">
        <v>2.6988610880858093</v>
      </c>
      <c r="H20" s="104">
        <v>1.6881927965479939</v>
      </c>
      <c r="I20" s="84">
        <v>9.9048469563669306E-2</v>
      </c>
      <c r="J20" s="105">
        <v>2.8465965129783966</v>
      </c>
      <c r="K20" s="106">
        <v>1.6916691905408459</v>
      </c>
    </row>
    <row r="21" spans="1:15" ht="15" hidden="1" customHeight="1" x14ac:dyDescent="0.25">
      <c r="A21" s="1421" t="s">
        <v>287</v>
      </c>
      <c r="B21" s="1422"/>
      <c r="C21" s="103">
        <v>0</v>
      </c>
      <c r="D21" s="116">
        <v>0.44823835031523312</v>
      </c>
      <c r="E21" s="116">
        <v>0.25673287271165596</v>
      </c>
      <c r="F21" s="104">
        <v>0</v>
      </c>
      <c r="G21" s="116">
        <v>4.438880161065762E-2</v>
      </c>
      <c r="H21" s="116">
        <v>2.7390692399558748E-2</v>
      </c>
      <c r="I21" s="83">
        <v>0</v>
      </c>
      <c r="J21" s="119">
        <v>0.38136008099426083</v>
      </c>
      <c r="K21" s="117">
        <v>0.22105599521752026</v>
      </c>
    </row>
    <row r="22" spans="1:15" ht="15" hidden="1" customHeight="1" x14ac:dyDescent="0.25">
      <c r="A22" s="1421" t="s">
        <v>288</v>
      </c>
      <c r="B22" s="1422"/>
      <c r="C22" s="103">
        <v>399.41046379988967</v>
      </c>
      <c r="D22" s="104">
        <v>450.70461431044225</v>
      </c>
      <c r="E22" s="104">
        <v>428.78968716312261</v>
      </c>
      <c r="F22" s="104">
        <v>325.35641717705261</v>
      </c>
      <c r="G22" s="104">
        <v>385.11098408959049</v>
      </c>
      <c r="H22" s="104">
        <v>362.22875664965483</v>
      </c>
      <c r="I22" s="83">
        <v>388.91577584963397</v>
      </c>
      <c r="J22" s="105">
        <v>439.84218179882595</v>
      </c>
      <c r="K22" s="106">
        <v>418.43535042230582</v>
      </c>
    </row>
    <row r="23" spans="1:15" ht="15" hidden="1" customHeight="1" thickBot="1" x14ac:dyDescent="0.3">
      <c r="A23" s="89" t="s">
        <v>274</v>
      </c>
      <c r="B23" s="90"/>
      <c r="C23" s="91">
        <v>679</v>
      </c>
      <c r="D23" s="91">
        <v>914</v>
      </c>
      <c r="E23" s="91">
        <v>1593</v>
      </c>
      <c r="F23" s="91">
        <v>259</v>
      </c>
      <c r="G23" s="91">
        <v>447</v>
      </c>
      <c r="H23" s="91">
        <v>706</v>
      </c>
      <c r="I23" s="91">
        <v>938</v>
      </c>
      <c r="J23" s="120">
        <v>1361</v>
      </c>
      <c r="K23" s="121">
        <v>2299</v>
      </c>
    </row>
    <row r="24" spans="1:15" ht="15" hidden="1" customHeight="1" thickTop="1" x14ac:dyDescent="0.25">
      <c r="A24" s="1424" t="s">
        <v>323</v>
      </c>
      <c r="B24" s="1424"/>
      <c r="C24" s="1424"/>
      <c r="D24" s="1424"/>
      <c r="E24" s="1424"/>
      <c r="F24" s="1424"/>
      <c r="G24" s="1424"/>
      <c r="H24" s="1424"/>
      <c r="I24" s="1424"/>
      <c r="J24" s="1424"/>
      <c r="K24" s="1424"/>
    </row>
    <row r="25" spans="1:15" ht="12.95" hidden="1" customHeight="1" x14ac:dyDescent="0.25"/>
    <row r="26" spans="1:15" x14ac:dyDescent="0.25">
      <c r="A26" s="40"/>
    </row>
    <row r="27" spans="1:15" x14ac:dyDescent="0.25">
      <c r="B27" s="122"/>
      <c r="C27" s="122"/>
      <c r="D27" s="122"/>
      <c r="E27" s="122"/>
      <c r="F27" s="122"/>
      <c r="G27" s="122"/>
      <c r="H27" s="122"/>
      <c r="I27" s="122"/>
    </row>
    <row r="28" spans="1:15" ht="15" customHeight="1" x14ac:dyDescent="0.25">
      <c r="A28" s="1425" t="s">
        <v>485</v>
      </c>
      <c r="B28" s="1425"/>
      <c r="C28" s="1425"/>
      <c r="D28" s="1425"/>
      <c r="E28" s="122"/>
      <c r="F28" s="1426" t="s">
        <v>486</v>
      </c>
      <c r="G28" s="1426"/>
      <c r="H28" s="1426"/>
      <c r="I28" s="1426"/>
      <c r="J28" s="1426"/>
      <c r="K28" s="1426"/>
      <c r="L28" s="1426"/>
      <c r="M28" s="1426"/>
      <c r="N28" s="1426"/>
      <c r="O28" s="1426"/>
    </row>
    <row r="29" spans="1:15" ht="24" customHeight="1" x14ac:dyDescent="0.25">
      <c r="A29" s="1425"/>
      <c r="B29" s="1425"/>
      <c r="C29" s="1425"/>
      <c r="D29" s="1425"/>
      <c r="E29" s="122"/>
      <c r="F29" s="1426"/>
      <c r="G29" s="1426"/>
      <c r="H29" s="1426"/>
      <c r="I29" s="1426"/>
      <c r="J29" s="1426"/>
      <c r="K29" s="1426"/>
      <c r="L29" s="1426"/>
      <c r="M29" s="1426"/>
      <c r="N29" s="1426"/>
      <c r="O29" s="1426"/>
    </row>
    <row r="30" spans="1:15" ht="15.75" thickBot="1" x14ac:dyDescent="0.3">
      <c r="A30" s="151"/>
      <c r="B30" s="151"/>
      <c r="C30" s="151"/>
      <c r="D30" s="151"/>
      <c r="E30" s="151"/>
      <c r="F30" s="410"/>
      <c r="G30" s="410"/>
      <c r="H30" s="368"/>
      <c r="I30" s="368"/>
    </row>
    <row r="31" spans="1:15" ht="15.75" customHeight="1" thickBot="1" x14ac:dyDescent="0.3">
      <c r="A31" s="1147"/>
      <c r="B31" s="604" t="s">
        <v>11</v>
      </c>
      <c r="C31" s="603" t="s">
        <v>12</v>
      </c>
      <c r="D31" s="601"/>
      <c r="E31" s="151"/>
      <c r="F31" s="411"/>
      <c r="G31" s="411"/>
      <c r="H31" s="368"/>
      <c r="I31" s="368"/>
    </row>
    <row r="32" spans="1:15" ht="17.100000000000001" customHeight="1" x14ac:dyDescent="0.25">
      <c r="A32" s="605" t="s">
        <v>222</v>
      </c>
      <c r="B32" s="606">
        <v>87.899182230045326</v>
      </c>
      <c r="C32" s="607">
        <v>83.034409296892491</v>
      </c>
      <c r="D32" s="602"/>
      <c r="E32" s="151"/>
      <c r="F32" s="411"/>
      <c r="G32" s="411"/>
      <c r="H32" s="368"/>
      <c r="I32" s="368"/>
    </row>
    <row r="33" spans="1:9" ht="17.100000000000001" customHeight="1" x14ac:dyDescent="0.25">
      <c r="A33" s="1145" t="s">
        <v>220</v>
      </c>
      <c r="B33" s="608">
        <v>8.9748527136631679</v>
      </c>
      <c r="C33" s="609">
        <v>10.298210106877349</v>
      </c>
      <c r="D33" s="602"/>
      <c r="E33" s="151"/>
      <c r="F33" s="411"/>
      <c r="G33" s="411"/>
      <c r="H33" s="368"/>
      <c r="I33" s="368"/>
    </row>
    <row r="34" spans="1:9" ht="17.100000000000001" customHeight="1" x14ac:dyDescent="0.25">
      <c r="A34" s="610" t="s">
        <v>218</v>
      </c>
      <c r="B34" s="608">
        <v>1.5972784691221455</v>
      </c>
      <c r="C34" s="609">
        <v>3.7858244302481596</v>
      </c>
      <c r="D34" s="602"/>
      <c r="E34" s="151"/>
      <c r="F34" s="370"/>
      <c r="G34" s="370"/>
      <c r="H34" s="371"/>
      <c r="I34" s="371"/>
    </row>
    <row r="35" spans="1:9" ht="17.100000000000001" customHeight="1" x14ac:dyDescent="0.25">
      <c r="A35" s="611" t="s">
        <v>219</v>
      </c>
      <c r="B35" s="608">
        <v>0.99869492301305507</v>
      </c>
      <c r="C35" s="609">
        <v>1.284098045998757</v>
      </c>
      <c r="D35" s="602"/>
      <c r="E35" s="151"/>
      <c r="F35" s="370"/>
      <c r="G35" s="370"/>
      <c r="H35" s="372"/>
      <c r="I35" s="372"/>
    </row>
    <row r="36" spans="1:9" ht="17.100000000000001" customHeight="1" x14ac:dyDescent="0.25">
      <c r="A36" s="1145" t="s">
        <v>64</v>
      </c>
      <c r="B36" s="608">
        <v>0.43314979444902751</v>
      </c>
      <c r="C36" s="609">
        <v>1.0468402537006749</v>
      </c>
      <c r="D36" s="602"/>
      <c r="E36" s="151"/>
      <c r="F36" s="151"/>
      <c r="G36" s="151"/>
      <c r="H36" s="151"/>
      <c r="I36" s="151"/>
    </row>
    <row r="37" spans="1:9" ht="17.100000000000001" customHeight="1" thickBot="1" x14ac:dyDescent="0.3">
      <c r="A37" s="1146" t="s">
        <v>221</v>
      </c>
      <c r="B37" s="612">
        <v>9.5755746503214278E-2</v>
      </c>
      <c r="C37" s="613">
        <v>0.55111391003156451</v>
      </c>
      <c r="D37" s="602"/>
      <c r="E37" s="151"/>
      <c r="F37" s="151"/>
      <c r="G37" s="151"/>
      <c r="H37" s="151"/>
      <c r="I37" s="151"/>
    </row>
    <row r="38" spans="1:9" x14ac:dyDescent="0.25">
      <c r="A38" s="1423"/>
      <c r="B38" s="1423"/>
      <c r="C38" s="369"/>
      <c r="D38" s="369"/>
      <c r="E38" s="151"/>
      <c r="F38" s="151"/>
      <c r="G38" s="151"/>
      <c r="H38" s="151"/>
      <c r="I38" s="151"/>
    </row>
    <row r="39" spans="1:9" x14ac:dyDescent="0.25">
      <c r="A39" s="1423"/>
      <c r="B39" s="1423"/>
      <c r="C39" s="369"/>
      <c r="D39" s="369"/>
      <c r="E39" s="151"/>
      <c r="F39" s="151"/>
      <c r="G39" s="151"/>
      <c r="H39" s="151"/>
      <c r="I39" s="151"/>
    </row>
    <row r="40" spans="1:9" x14ac:dyDescent="0.25">
      <c r="A40" s="1423"/>
      <c r="B40" s="1423"/>
      <c r="C40" s="369"/>
      <c r="D40" s="369"/>
      <c r="E40" s="151"/>
      <c r="F40" s="151"/>
      <c r="G40" s="151"/>
      <c r="H40" s="151"/>
      <c r="I40" s="151"/>
    </row>
    <row r="41" spans="1:9" x14ac:dyDescent="0.25">
      <c r="A41" s="1423"/>
      <c r="B41" s="1423"/>
      <c r="C41" s="369"/>
      <c r="D41" s="369"/>
      <c r="E41" s="151"/>
      <c r="F41" s="151"/>
      <c r="G41" s="151"/>
      <c r="H41" s="151"/>
      <c r="I41" s="151"/>
    </row>
    <row r="42" spans="1:9" x14ac:dyDescent="0.25">
      <c r="A42" s="1423"/>
      <c r="B42" s="1423"/>
      <c r="C42" s="369"/>
      <c r="D42" s="369"/>
      <c r="E42" s="151"/>
      <c r="F42" s="151"/>
      <c r="G42" s="151"/>
      <c r="H42" s="151"/>
      <c r="I42" s="151"/>
    </row>
  </sheetData>
  <mergeCells count="28">
    <mergeCell ref="A42:B42"/>
    <mergeCell ref="A38:B38"/>
    <mergeCell ref="A39:B39"/>
    <mergeCell ref="A40:B40"/>
    <mergeCell ref="A24:K24"/>
    <mergeCell ref="A41:B41"/>
    <mergeCell ref="A28:D29"/>
    <mergeCell ref="F28:O29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4:K4"/>
    <mergeCell ref="A5:B7"/>
    <mergeCell ref="C5:E5"/>
    <mergeCell ref="F5:H5"/>
    <mergeCell ref="I5:K5"/>
  </mergeCells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Y81"/>
  <sheetViews>
    <sheetView topLeftCell="L1" workbookViewId="0">
      <selection activeCell="M3" sqref="M3"/>
    </sheetView>
  </sheetViews>
  <sheetFormatPr defaultRowHeight="15" x14ac:dyDescent="0.25"/>
  <cols>
    <col min="1" max="1" width="6.85546875" style="339" customWidth="1"/>
    <col min="2" max="2" width="13.28515625" style="339" customWidth="1"/>
    <col min="3" max="3" width="10.7109375" style="339" customWidth="1"/>
    <col min="4" max="4" width="11.7109375" style="339" customWidth="1"/>
    <col min="5" max="5" width="11" style="339" customWidth="1"/>
    <col min="6" max="6" width="9" style="339" customWidth="1"/>
    <col min="7" max="7" width="10.7109375" style="339" customWidth="1"/>
    <col min="8" max="9" width="9.140625" style="339"/>
    <col min="10" max="10" width="12.7109375" style="339" customWidth="1"/>
    <col min="11" max="11" width="11.85546875" style="339" customWidth="1"/>
    <col min="12" max="12" width="9.140625" style="339"/>
    <col min="13" max="13" width="9.28515625" style="339" customWidth="1"/>
    <col min="14" max="16384" width="9.140625" style="339"/>
  </cols>
  <sheetData>
    <row r="2" spans="1:25" ht="18" customHeight="1" thickBot="1" x14ac:dyDescent="0.3">
      <c r="A2" s="1427" t="s">
        <v>366</v>
      </c>
      <c r="B2" s="1427"/>
      <c r="C2" s="1427"/>
      <c r="D2" s="1427"/>
      <c r="E2" s="1427"/>
      <c r="F2" s="1427"/>
      <c r="G2" s="1427"/>
    </row>
    <row r="3" spans="1:25" ht="69.95" customHeight="1" thickTop="1" x14ac:dyDescent="0.25">
      <c r="A3" s="1428"/>
      <c r="B3" s="376" t="s">
        <v>367</v>
      </c>
      <c r="C3" s="377" t="s">
        <v>412</v>
      </c>
      <c r="D3" s="377" t="s">
        <v>413</v>
      </c>
      <c r="E3" s="377" t="s">
        <v>368</v>
      </c>
      <c r="F3" s="377" t="s">
        <v>369</v>
      </c>
      <c r="G3" s="378" t="s">
        <v>370</v>
      </c>
    </row>
    <row r="4" spans="1:25" ht="15" customHeight="1" thickBot="1" x14ac:dyDescent="0.3">
      <c r="A4" s="1429"/>
      <c r="B4" s="379" t="s">
        <v>371</v>
      </c>
      <c r="C4" s="380" t="s">
        <v>371</v>
      </c>
      <c r="D4" s="380" t="s">
        <v>371</v>
      </c>
      <c r="E4" s="380" t="s">
        <v>371</v>
      </c>
      <c r="F4" s="380" t="s">
        <v>371</v>
      </c>
      <c r="G4" s="381" t="s">
        <v>371</v>
      </c>
      <c r="I4" s="365"/>
      <c r="J4" s="382" t="s">
        <v>11</v>
      </c>
      <c r="K4" s="382" t="s">
        <v>12</v>
      </c>
      <c r="M4" s="1431" t="s">
        <v>484</v>
      </c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  <c r="Y4" s="1431"/>
    </row>
    <row r="5" spans="1:25" ht="15.75" thickTop="1" x14ac:dyDescent="0.25">
      <c r="A5" s="383" t="s">
        <v>372</v>
      </c>
      <c r="B5" s="384">
        <v>0.20697093576563166</v>
      </c>
      <c r="C5" s="385">
        <v>0.18617003394687073</v>
      </c>
      <c r="D5" s="385">
        <v>0.41323811300230884</v>
      </c>
      <c r="E5" s="385">
        <v>0.16860084247598578</v>
      </c>
      <c r="F5" s="385">
        <v>2.1789134535116064E-2</v>
      </c>
      <c r="G5" s="386">
        <v>3.2309402740907027E-3</v>
      </c>
      <c r="I5" s="365"/>
      <c r="J5" s="387">
        <f>B46*100</f>
        <v>33.224875672515736</v>
      </c>
      <c r="K5" s="387">
        <f>B5*100</f>
        <v>20.697093576563166</v>
      </c>
      <c r="M5" s="1431"/>
      <c r="N5" s="1431"/>
      <c r="O5" s="1431"/>
      <c r="P5" s="1431"/>
      <c r="Q5" s="1431"/>
      <c r="R5" s="1431"/>
      <c r="S5" s="1431"/>
      <c r="T5" s="1431"/>
      <c r="U5" s="1431"/>
      <c r="V5" s="1431"/>
      <c r="W5" s="1431"/>
      <c r="X5" s="1431"/>
      <c r="Y5" s="1431"/>
    </row>
    <row r="6" spans="1:25" ht="15" customHeight="1" x14ac:dyDescent="0.25">
      <c r="A6" s="388" t="s">
        <v>373</v>
      </c>
      <c r="B6" s="389">
        <v>0.21245320834594569</v>
      </c>
      <c r="C6" s="390">
        <v>0.29028067416471881</v>
      </c>
      <c r="D6" s="390">
        <v>0.2698908037332437</v>
      </c>
      <c r="E6" s="390">
        <v>0.19861855358396499</v>
      </c>
      <c r="F6" s="390">
        <v>2.5525819898039915E-2</v>
      </c>
      <c r="G6" s="391">
        <v>3.2309402740907027E-3</v>
      </c>
      <c r="I6" s="365"/>
      <c r="J6" s="387">
        <f t="shared" ref="J6:J40" si="0">B47*100</f>
        <v>34.568035780935475</v>
      </c>
      <c r="K6" s="387">
        <f t="shared" ref="K6:K40" si="1">B6*100</f>
        <v>21.245320834594569</v>
      </c>
    </row>
    <row r="7" spans="1:25" ht="15" customHeight="1" x14ac:dyDescent="0.25">
      <c r="A7" s="388" t="s">
        <v>374</v>
      </c>
      <c r="B7" s="389">
        <v>0.17693885561980402</v>
      </c>
      <c r="C7" s="390">
        <v>0.4011562605544019</v>
      </c>
      <c r="D7" s="390">
        <v>0.16464264922815025</v>
      </c>
      <c r="E7" s="390">
        <v>0.22923830658568797</v>
      </c>
      <c r="F7" s="390">
        <v>2.8023928011959708E-2</v>
      </c>
      <c r="G7" s="392">
        <v>0</v>
      </c>
      <c r="I7" s="365"/>
      <c r="J7" s="387">
        <f t="shared" si="0"/>
        <v>36.21235943608702</v>
      </c>
      <c r="K7" s="387">
        <f t="shared" si="1"/>
        <v>17.693885561980402</v>
      </c>
    </row>
    <row r="8" spans="1:25" ht="15" customHeight="1" x14ac:dyDescent="0.25">
      <c r="A8" s="388" t="s">
        <v>375</v>
      </c>
      <c r="B8" s="389">
        <v>0.15346043702323034</v>
      </c>
      <c r="C8" s="390">
        <v>0.44072426743327214</v>
      </c>
      <c r="D8" s="390">
        <v>9.2008759851099936E-2</v>
      </c>
      <c r="E8" s="390">
        <v>0.27147086531332904</v>
      </c>
      <c r="F8" s="390">
        <v>4.1418550703090216E-2</v>
      </c>
      <c r="G8" s="391">
        <v>9.1711967598198467E-4</v>
      </c>
      <c r="I8" s="365"/>
      <c r="J8" s="387">
        <f t="shared" si="0"/>
        <v>35.557832142899244</v>
      </c>
      <c r="K8" s="387">
        <f t="shared" si="1"/>
        <v>15.346043702323033</v>
      </c>
    </row>
    <row r="9" spans="1:25" ht="15" customHeight="1" x14ac:dyDescent="0.25">
      <c r="A9" s="388" t="s">
        <v>376</v>
      </c>
      <c r="B9" s="389">
        <v>0.1382452133206446</v>
      </c>
      <c r="C9" s="390">
        <v>0.40327926029534877</v>
      </c>
      <c r="D9" s="390">
        <v>7.3184728517348835E-2</v>
      </c>
      <c r="E9" s="390">
        <v>0.31916416319970825</v>
      </c>
      <c r="F9" s="390">
        <v>6.0419782430065565E-2</v>
      </c>
      <c r="G9" s="391">
        <v>5.7068522368876502E-3</v>
      </c>
      <c r="I9" s="365"/>
      <c r="J9" s="387">
        <f t="shared" si="0"/>
        <v>34.917556828343763</v>
      </c>
      <c r="K9" s="387">
        <f t="shared" si="1"/>
        <v>13.82452133206446</v>
      </c>
    </row>
    <row r="10" spans="1:25" ht="15" customHeight="1" x14ac:dyDescent="0.25">
      <c r="A10" s="388" t="s">
        <v>377</v>
      </c>
      <c r="B10" s="389">
        <v>0.1358869387428614</v>
      </c>
      <c r="C10" s="390">
        <v>0.35813356510422628</v>
      </c>
      <c r="D10" s="390">
        <v>8.1709639402374079E-2</v>
      </c>
      <c r="E10" s="390">
        <v>0.35119604033282653</v>
      </c>
      <c r="F10" s="390">
        <v>7.2156696741733237E-2</v>
      </c>
      <c r="G10" s="391">
        <v>9.1711967598198467E-4</v>
      </c>
      <c r="I10" s="365">
        <v>1</v>
      </c>
      <c r="J10" s="387">
        <f t="shared" si="0"/>
        <v>32.340524082190704</v>
      </c>
      <c r="K10" s="387">
        <f t="shared" si="1"/>
        <v>13.58869387428614</v>
      </c>
    </row>
    <row r="11" spans="1:25" ht="15" customHeight="1" x14ac:dyDescent="0.25">
      <c r="A11" s="388" t="s">
        <v>378</v>
      </c>
      <c r="B11" s="389">
        <v>0.1487066443076823</v>
      </c>
      <c r="C11" s="390">
        <v>0.2786343292786162</v>
      </c>
      <c r="D11" s="390">
        <v>4.8614889238659885E-2</v>
      </c>
      <c r="E11" s="390">
        <v>0.42205475716122876</v>
      </c>
      <c r="F11" s="390">
        <v>0.10198938001381648</v>
      </c>
      <c r="G11" s="392">
        <v>0</v>
      </c>
      <c r="I11" s="365"/>
      <c r="J11" s="387">
        <f t="shared" si="0"/>
        <v>33.452319434145203</v>
      </c>
      <c r="K11" s="387">
        <f t="shared" si="1"/>
        <v>14.87066443076823</v>
      </c>
    </row>
    <row r="12" spans="1:25" ht="15" customHeight="1" x14ac:dyDescent="0.25">
      <c r="A12" s="388" t="s">
        <v>379</v>
      </c>
      <c r="B12" s="389">
        <v>0.15764047869470016</v>
      </c>
      <c r="C12" s="390">
        <v>0.21206987420002382</v>
      </c>
      <c r="D12" s="390">
        <v>7.1614318545048294E-2</v>
      </c>
      <c r="E12" s="390">
        <v>0.43886209392793257</v>
      </c>
      <c r="F12" s="390">
        <v>0.11981323463229905</v>
      </c>
      <c r="G12" s="392">
        <v>0</v>
      </c>
      <c r="I12" s="365"/>
      <c r="J12" s="387">
        <f t="shared" si="0"/>
        <v>33.853757809872398</v>
      </c>
      <c r="K12" s="387">
        <f t="shared" si="1"/>
        <v>15.764047869470016</v>
      </c>
    </row>
    <row r="13" spans="1:25" ht="15" customHeight="1" x14ac:dyDescent="0.25">
      <c r="A13" s="388" t="s">
        <v>380</v>
      </c>
      <c r="B13" s="389">
        <v>0.13768400551601215</v>
      </c>
      <c r="C13" s="390">
        <v>0.17928866089662443</v>
      </c>
      <c r="D13" s="390">
        <v>8.1885974382477772E-2</v>
      </c>
      <c r="E13" s="390">
        <v>0.46320271918881545</v>
      </c>
      <c r="F13" s="390">
        <v>0.137938640016074</v>
      </c>
      <c r="G13" s="392">
        <v>0</v>
      </c>
      <c r="I13" s="365"/>
      <c r="J13" s="387">
        <f t="shared" si="0"/>
        <v>29.219705341700159</v>
      </c>
      <c r="K13" s="387">
        <f t="shared" si="1"/>
        <v>13.768400551601214</v>
      </c>
    </row>
    <row r="14" spans="1:25" ht="15" customHeight="1" x14ac:dyDescent="0.25">
      <c r="A14" s="388" t="s">
        <v>381</v>
      </c>
      <c r="B14" s="389">
        <v>0.15813975440560862</v>
      </c>
      <c r="C14" s="390">
        <v>0.14127648290126768</v>
      </c>
      <c r="D14" s="390">
        <v>7.1789892689549342E-2</v>
      </c>
      <c r="E14" s="390">
        <v>0.46390998907471703</v>
      </c>
      <c r="F14" s="390">
        <v>0.15938405485263143</v>
      </c>
      <c r="G14" s="391">
        <v>5.4998260762296799E-3</v>
      </c>
      <c r="I14" s="365"/>
      <c r="J14" s="387">
        <f t="shared" si="0"/>
        <v>28.161677533331869</v>
      </c>
      <c r="K14" s="387">
        <f t="shared" si="1"/>
        <v>15.813975440560862</v>
      </c>
    </row>
    <row r="15" spans="1:25" ht="15" customHeight="1" x14ac:dyDescent="0.25">
      <c r="A15" s="388" t="s">
        <v>382</v>
      </c>
      <c r="B15" s="389">
        <v>0.14975137721980478</v>
      </c>
      <c r="C15" s="390">
        <v>0.15199058140625671</v>
      </c>
      <c r="D15" s="390">
        <v>7.1423988230101876E-2</v>
      </c>
      <c r="E15" s="390">
        <v>0.45046959545334431</v>
      </c>
      <c r="F15" s="390">
        <v>0.17086463161426649</v>
      </c>
      <c r="G15" s="391">
        <v>5.4998260762296799E-3</v>
      </c>
      <c r="I15" s="365"/>
      <c r="J15" s="387">
        <f t="shared" si="0"/>
        <v>29.289911436064358</v>
      </c>
      <c r="K15" s="387">
        <f t="shared" si="1"/>
        <v>14.975137721980477</v>
      </c>
    </row>
    <row r="16" spans="1:25" ht="15" customHeight="1" x14ac:dyDescent="0.25">
      <c r="A16" s="388" t="s">
        <v>383</v>
      </c>
      <c r="B16" s="389">
        <v>0.17111232942105142</v>
      </c>
      <c r="C16" s="390">
        <v>0.12954720197906255</v>
      </c>
      <c r="D16" s="390">
        <v>7.610183776547072E-2</v>
      </c>
      <c r="E16" s="390">
        <v>0.43960903251276867</v>
      </c>
      <c r="F16" s="390">
        <v>0.17812977224542073</v>
      </c>
      <c r="G16" s="391">
        <v>5.4998260762296799E-3</v>
      </c>
      <c r="I16" s="365">
        <v>2</v>
      </c>
      <c r="J16" s="387">
        <f t="shared" si="0"/>
        <v>32.116712098942806</v>
      </c>
      <c r="K16" s="387">
        <f t="shared" si="1"/>
        <v>17.111232942105143</v>
      </c>
    </row>
    <row r="17" spans="1:11" ht="15" customHeight="1" x14ac:dyDescent="0.25">
      <c r="A17" s="388" t="s">
        <v>384</v>
      </c>
      <c r="B17" s="389">
        <v>0.18083906355355911</v>
      </c>
      <c r="C17" s="390">
        <v>0.1253235577678278</v>
      </c>
      <c r="D17" s="390">
        <v>7.5796599653554217E-2</v>
      </c>
      <c r="E17" s="390">
        <v>0.40161778416518584</v>
      </c>
      <c r="F17" s="390">
        <v>0.20965236802322565</v>
      </c>
      <c r="G17" s="391">
        <v>6.7706268366510055E-3</v>
      </c>
      <c r="I17" s="365"/>
      <c r="J17" s="387">
        <f t="shared" si="0"/>
        <v>31.360360561982787</v>
      </c>
      <c r="K17" s="387">
        <f t="shared" si="1"/>
        <v>18.083906355355911</v>
      </c>
    </row>
    <row r="18" spans="1:11" ht="15" customHeight="1" x14ac:dyDescent="0.25">
      <c r="A18" s="388" t="s">
        <v>385</v>
      </c>
      <c r="B18" s="389">
        <v>0.17918304264490081</v>
      </c>
      <c r="C18" s="390">
        <v>0.12181619150378051</v>
      </c>
      <c r="D18" s="390">
        <v>6.9246212471114593E-2</v>
      </c>
      <c r="E18" s="390">
        <v>0.39862886380317603</v>
      </c>
      <c r="F18" s="390">
        <v>0.2219976209041766</v>
      </c>
      <c r="G18" s="391">
        <v>9.1280686728551115E-3</v>
      </c>
      <c r="I18" s="365"/>
      <c r="J18" s="387">
        <f t="shared" si="0"/>
        <v>30.223784176830765</v>
      </c>
      <c r="K18" s="387">
        <f t="shared" si="1"/>
        <v>17.918304264490082</v>
      </c>
    </row>
    <row r="19" spans="1:11" ht="15" customHeight="1" x14ac:dyDescent="0.25">
      <c r="A19" s="388" t="s">
        <v>386</v>
      </c>
      <c r="B19" s="389">
        <v>0.17851159577899833</v>
      </c>
      <c r="C19" s="390">
        <v>0.12727961047872505</v>
      </c>
      <c r="D19" s="390">
        <v>6.763390256911618E-2</v>
      </c>
      <c r="E19" s="390">
        <v>0.38970188302706338</v>
      </c>
      <c r="F19" s="390">
        <v>0.22983659198278719</v>
      </c>
      <c r="G19" s="391">
        <v>7.0364161633136605E-3</v>
      </c>
      <c r="I19" s="365"/>
      <c r="J19" s="387">
        <f t="shared" si="0"/>
        <v>30.368821035262961</v>
      </c>
      <c r="K19" s="387">
        <f t="shared" si="1"/>
        <v>17.851159577899832</v>
      </c>
    </row>
    <row r="20" spans="1:11" ht="15" customHeight="1" x14ac:dyDescent="0.25">
      <c r="A20" s="388" t="s">
        <v>387</v>
      </c>
      <c r="B20" s="389">
        <v>0.181351567540878</v>
      </c>
      <c r="C20" s="390">
        <v>0.13537207465154455</v>
      </c>
      <c r="D20" s="390">
        <v>5.3607064915925449E-2</v>
      </c>
      <c r="E20" s="390">
        <v>0.38533031075853413</v>
      </c>
      <c r="F20" s="390">
        <v>0.24306818137270036</v>
      </c>
      <c r="G20" s="391">
        <v>1.2708007604213247E-3</v>
      </c>
      <c r="I20" s="365"/>
      <c r="J20" s="387">
        <f t="shared" si="0"/>
        <v>33.774587854779654</v>
      </c>
      <c r="K20" s="387">
        <f t="shared" si="1"/>
        <v>18.135156754087799</v>
      </c>
    </row>
    <row r="21" spans="1:11" ht="15" customHeight="1" x14ac:dyDescent="0.25">
      <c r="A21" s="388" t="s">
        <v>388</v>
      </c>
      <c r="B21" s="389">
        <v>0.17869790068992839</v>
      </c>
      <c r="C21" s="390">
        <v>0.13786412756629474</v>
      </c>
      <c r="D21" s="390">
        <v>5.933578971024709E-2</v>
      </c>
      <c r="E21" s="390">
        <v>0.34785575061455842</v>
      </c>
      <c r="F21" s="390">
        <v>0.27274970181822178</v>
      </c>
      <c r="G21" s="391">
        <v>3.4967296007533573E-3</v>
      </c>
      <c r="I21" s="365"/>
      <c r="J21" s="387">
        <f t="shared" si="0"/>
        <v>34.036225191772814</v>
      </c>
      <c r="K21" s="387">
        <f t="shared" si="1"/>
        <v>17.869790068992838</v>
      </c>
    </row>
    <row r="22" spans="1:11" ht="15" customHeight="1" x14ac:dyDescent="0.25">
      <c r="A22" s="388" t="s">
        <v>389</v>
      </c>
      <c r="B22" s="389">
        <v>0.18159336580809421</v>
      </c>
      <c r="C22" s="390">
        <v>0.11791506542181639</v>
      </c>
      <c r="D22" s="390">
        <v>6.1813606522899633E-2</v>
      </c>
      <c r="E22" s="390">
        <v>0.35275927999787521</v>
      </c>
      <c r="F22" s="390">
        <v>0.2824219526485649</v>
      </c>
      <c r="G22" s="391">
        <v>3.4967296007533573E-3</v>
      </c>
      <c r="I22" s="365">
        <v>3</v>
      </c>
      <c r="J22" s="387">
        <f t="shared" si="0"/>
        <v>35.064831876477918</v>
      </c>
      <c r="K22" s="387">
        <f t="shared" si="1"/>
        <v>18.15933658080942</v>
      </c>
    </row>
    <row r="23" spans="1:11" ht="15" customHeight="1" x14ac:dyDescent="0.25">
      <c r="A23" s="388" t="s">
        <v>390</v>
      </c>
      <c r="B23" s="389">
        <v>0.17861866671104346</v>
      </c>
      <c r="C23" s="390">
        <v>9.0632352792705373E-2</v>
      </c>
      <c r="D23" s="390">
        <v>0.10934415398065274</v>
      </c>
      <c r="E23" s="390">
        <v>0.3222044014496982</v>
      </c>
      <c r="F23" s="390">
        <v>0.29570369546515046</v>
      </c>
      <c r="G23" s="391">
        <v>3.4967296007533573E-3</v>
      </c>
      <c r="I23" s="365"/>
      <c r="J23" s="387">
        <f t="shared" si="0"/>
        <v>32.092441603501889</v>
      </c>
      <c r="K23" s="387">
        <f t="shared" si="1"/>
        <v>17.861866671104345</v>
      </c>
    </row>
    <row r="24" spans="1:11" ht="15" customHeight="1" x14ac:dyDescent="0.25">
      <c r="A24" s="388" t="s">
        <v>391</v>
      </c>
      <c r="B24" s="389">
        <v>0.15674346396724084</v>
      </c>
      <c r="C24" s="390">
        <v>0.10025638063671768</v>
      </c>
      <c r="D24" s="390">
        <v>0.10598745217551001</v>
      </c>
      <c r="E24" s="390">
        <v>0.31465374085856962</v>
      </c>
      <c r="F24" s="390">
        <v>0.32235896236196532</v>
      </c>
      <c r="G24" s="392">
        <v>0</v>
      </c>
      <c r="I24" s="365"/>
      <c r="J24" s="387">
        <f t="shared" si="0"/>
        <v>30.135424787239394</v>
      </c>
      <c r="K24" s="387">
        <f t="shared" si="1"/>
        <v>15.674346396724085</v>
      </c>
    </row>
    <row r="25" spans="1:11" ht="15" customHeight="1" x14ac:dyDescent="0.25">
      <c r="A25" s="388" t="s">
        <v>392</v>
      </c>
      <c r="B25" s="389">
        <v>0.14507081599161514</v>
      </c>
      <c r="C25" s="390">
        <v>9.7947107682096343E-2</v>
      </c>
      <c r="D25" s="390">
        <v>0.13578663597395024</v>
      </c>
      <c r="E25" s="390">
        <v>0.29487180324040324</v>
      </c>
      <c r="F25" s="390">
        <v>0.32632363711193851</v>
      </c>
      <c r="G25" s="392">
        <v>0</v>
      </c>
      <c r="I25" s="365"/>
      <c r="J25" s="387">
        <f t="shared" si="0"/>
        <v>27.971143102221912</v>
      </c>
      <c r="K25" s="387">
        <f t="shared" si="1"/>
        <v>14.507081599161515</v>
      </c>
    </row>
    <row r="26" spans="1:11" ht="15" customHeight="1" x14ac:dyDescent="0.25">
      <c r="A26" s="388" t="s">
        <v>393</v>
      </c>
      <c r="B26" s="389">
        <v>0.13135068699301039</v>
      </c>
      <c r="C26" s="390">
        <v>9.6958458943824766E-2</v>
      </c>
      <c r="D26" s="390">
        <v>0.14875924708421781</v>
      </c>
      <c r="E26" s="390">
        <v>0.27943829875529391</v>
      </c>
      <c r="F26" s="390">
        <v>0.34349330822365659</v>
      </c>
      <c r="G26" s="392">
        <v>0</v>
      </c>
      <c r="I26" s="365"/>
      <c r="J26" s="387">
        <f t="shared" si="0"/>
        <v>29.695396397110258</v>
      </c>
      <c r="K26" s="387">
        <f t="shared" si="1"/>
        <v>13.135068699301039</v>
      </c>
    </row>
    <row r="27" spans="1:11" ht="15" customHeight="1" x14ac:dyDescent="0.25">
      <c r="A27" s="388" t="s">
        <v>394</v>
      </c>
      <c r="B27" s="389">
        <v>0.12590607467011991</v>
      </c>
      <c r="C27" s="390">
        <v>0.10264516068307243</v>
      </c>
      <c r="D27" s="390">
        <v>0.13196529327412221</v>
      </c>
      <c r="E27" s="390">
        <v>0.28661679728675549</v>
      </c>
      <c r="F27" s="390">
        <v>0.35286667408593347</v>
      </c>
      <c r="G27" s="392">
        <v>0</v>
      </c>
      <c r="I27" s="365"/>
      <c r="J27" s="387">
        <f t="shared" si="0"/>
        <v>27.495087557180415</v>
      </c>
      <c r="K27" s="387">
        <f t="shared" si="1"/>
        <v>12.59060746701199</v>
      </c>
    </row>
    <row r="28" spans="1:11" ht="15" customHeight="1" x14ac:dyDescent="0.25">
      <c r="A28" s="388" t="s">
        <v>395</v>
      </c>
      <c r="B28" s="389">
        <v>0.12477095709801388</v>
      </c>
      <c r="C28" s="390">
        <v>0.10994609361886001</v>
      </c>
      <c r="D28" s="390">
        <v>0.14238894734996588</v>
      </c>
      <c r="E28" s="390">
        <v>0.27521079396334064</v>
      </c>
      <c r="F28" s="390">
        <v>0.3476832079698231</v>
      </c>
      <c r="G28" s="392">
        <v>0</v>
      </c>
      <c r="I28" s="365">
        <v>4</v>
      </c>
      <c r="J28" s="387">
        <f t="shared" si="0"/>
        <v>24.436896703649669</v>
      </c>
      <c r="K28" s="387">
        <f t="shared" si="1"/>
        <v>12.477095709801388</v>
      </c>
    </row>
    <row r="29" spans="1:11" ht="15" customHeight="1" x14ac:dyDescent="0.25">
      <c r="A29" s="388" t="s">
        <v>396</v>
      </c>
      <c r="B29" s="389">
        <v>0.1122611505164596</v>
      </c>
      <c r="C29" s="390">
        <v>0.10333361232857577</v>
      </c>
      <c r="D29" s="390">
        <v>0.17790677755570372</v>
      </c>
      <c r="E29" s="390">
        <v>0.25920912725447026</v>
      </c>
      <c r="F29" s="390">
        <v>0.34572193740541612</v>
      </c>
      <c r="G29" s="391">
        <v>1.5673949393779809E-3</v>
      </c>
      <c r="I29" s="365"/>
      <c r="J29" s="387">
        <f t="shared" si="0"/>
        <v>24.864022824293329</v>
      </c>
      <c r="K29" s="387">
        <f t="shared" si="1"/>
        <v>11.22611505164596</v>
      </c>
    </row>
    <row r="30" spans="1:11" ht="15" customHeight="1" x14ac:dyDescent="0.25">
      <c r="A30" s="388" t="s">
        <v>397</v>
      </c>
      <c r="B30" s="389">
        <v>9.2451849044540582E-2</v>
      </c>
      <c r="C30" s="390">
        <v>0.11446217843892319</v>
      </c>
      <c r="D30" s="390">
        <v>0.18545512390903204</v>
      </c>
      <c r="E30" s="390">
        <v>0.24507997004086285</v>
      </c>
      <c r="F30" s="390">
        <v>0.3561937510663612</v>
      </c>
      <c r="G30" s="391">
        <v>6.3571275002836485E-3</v>
      </c>
      <c r="I30" s="365"/>
      <c r="J30" s="387">
        <f t="shared" si="0"/>
        <v>22.774830385414592</v>
      </c>
      <c r="K30" s="387">
        <f t="shared" si="1"/>
        <v>9.2451849044540584</v>
      </c>
    </row>
    <row r="31" spans="1:11" ht="15" customHeight="1" x14ac:dyDescent="0.25">
      <c r="A31" s="388" t="s">
        <v>398</v>
      </c>
      <c r="B31" s="389">
        <v>7.7346033345909046E-2</v>
      </c>
      <c r="C31" s="390">
        <v>0.10862467847004653</v>
      </c>
      <c r="D31" s="390">
        <v>0.20055539166607766</v>
      </c>
      <c r="E31" s="390">
        <v>0.25058023334391782</v>
      </c>
      <c r="F31" s="390">
        <v>0.36289366317405258</v>
      </c>
      <c r="G31" s="392">
        <v>0</v>
      </c>
      <c r="I31" s="365"/>
      <c r="J31" s="387">
        <f t="shared" si="0"/>
        <v>24.133878736505661</v>
      </c>
      <c r="K31" s="387">
        <f t="shared" si="1"/>
        <v>7.7346033345909042</v>
      </c>
    </row>
    <row r="32" spans="1:11" ht="15" customHeight="1" x14ac:dyDescent="0.25">
      <c r="A32" s="388" t="s">
        <v>399</v>
      </c>
      <c r="B32" s="389">
        <v>6.0052013845376374E-2</v>
      </c>
      <c r="C32" s="390">
        <v>0.1094496002416431</v>
      </c>
      <c r="D32" s="390">
        <v>0.23242881034639398</v>
      </c>
      <c r="E32" s="390">
        <v>0.24739512292541474</v>
      </c>
      <c r="F32" s="390">
        <v>0.35067445264117558</v>
      </c>
      <c r="G32" s="392">
        <v>0</v>
      </c>
      <c r="I32" s="365"/>
      <c r="J32" s="387">
        <f t="shared" si="0"/>
        <v>19.263738449617588</v>
      </c>
      <c r="K32" s="387">
        <f t="shared" si="1"/>
        <v>6.0052013845376377</v>
      </c>
    </row>
    <row r="33" spans="1:11" ht="15" customHeight="1" x14ac:dyDescent="0.25">
      <c r="A33" s="388" t="s">
        <v>400</v>
      </c>
      <c r="B33" s="389">
        <v>5.6991103873527189E-2</v>
      </c>
      <c r="C33" s="390">
        <v>9.0052473552182252E-2</v>
      </c>
      <c r="D33" s="390">
        <v>0.25340326106378219</v>
      </c>
      <c r="E33" s="390">
        <v>0.2539192549309458</v>
      </c>
      <c r="F33" s="390">
        <v>0.34563390657956605</v>
      </c>
      <c r="G33" s="392">
        <v>0</v>
      </c>
      <c r="I33" s="365"/>
      <c r="J33" s="387">
        <f t="shared" si="0"/>
        <v>17.831165999939969</v>
      </c>
      <c r="K33" s="387">
        <f t="shared" si="1"/>
        <v>5.6991103873527189</v>
      </c>
    </row>
    <row r="34" spans="1:11" ht="15" customHeight="1" x14ac:dyDescent="0.25">
      <c r="A34" s="388" t="s">
        <v>401</v>
      </c>
      <c r="B34" s="389">
        <v>4.767452778833501E-2</v>
      </c>
      <c r="C34" s="390">
        <v>8.4833933650752702E-2</v>
      </c>
      <c r="D34" s="390">
        <v>0.27077090277911164</v>
      </c>
      <c r="E34" s="390">
        <v>0.25362468755201739</v>
      </c>
      <c r="F34" s="390">
        <v>0.34309594822978684</v>
      </c>
      <c r="G34" s="392">
        <v>0</v>
      </c>
      <c r="I34" s="365">
        <v>5</v>
      </c>
      <c r="J34" s="387">
        <f t="shared" si="0"/>
        <v>17.23039195865293</v>
      </c>
      <c r="K34" s="387">
        <f t="shared" si="1"/>
        <v>4.7674527788335013</v>
      </c>
    </row>
    <row r="35" spans="1:11" ht="15" customHeight="1" x14ac:dyDescent="0.25">
      <c r="A35" s="388" t="s">
        <v>402</v>
      </c>
      <c r="B35" s="389">
        <v>3.7638379489005121E-2</v>
      </c>
      <c r="C35" s="390">
        <v>8.0936282061084719E-2</v>
      </c>
      <c r="D35" s="390">
        <v>0.30144143343835234</v>
      </c>
      <c r="E35" s="390">
        <v>0.22314443460542224</v>
      </c>
      <c r="F35" s="390">
        <v>0.35434948293268304</v>
      </c>
      <c r="G35" s="391">
        <v>2.4899874734559363E-3</v>
      </c>
      <c r="I35" s="365"/>
      <c r="J35" s="387">
        <f t="shared" si="0"/>
        <v>13.461758505458329</v>
      </c>
      <c r="K35" s="387">
        <f t="shared" si="1"/>
        <v>3.763837948900512</v>
      </c>
    </row>
    <row r="36" spans="1:11" ht="15" customHeight="1" x14ac:dyDescent="0.25">
      <c r="A36" s="388" t="s">
        <v>403</v>
      </c>
      <c r="B36" s="389">
        <v>3.0937302824163435E-2</v>
      </c>
      <c r="C36" s="390">
        <v>6.7049358788672964E-2</v>
      </c>
      <c r="D36" s="390">
        <v>0.32542124846009257</v>
      </c>
      <c r="E36" s="390">
        <v>0.20877479528420356</v>
      </c>
      <c r="F36" s="390">
        <v>0.36532730716941508</v>
      </c>
      <c r="G36" s="391">
        <v>2.4899874734559363E-3</v>
      </c>
      <c r="I36" s="365"/>
      <c r="J36" s="387">
        <f t="shared" si="0"/>
        <v>13.041123843969768</v>
      </c>
      <c r="K36" s="387">
        <f t="shared" si="1"/>
        <v>3.0937302824163435</v>
      </c>
    </row>
    <row r="37" spans="1:11" ht="15" customHeight="1" x14ac:dyDescent="0.25">
      <c r="A37" s="388" t="s">
        <v>404</v>
      </c>
      <c r="B37" s="389">
        <v>3.618923692956668E-2</v>
      </c>
      <c r="C37" s="390">
        <v>4.6301778744579837E-2</v>
      </c>
      <c r="D37" s="390">
        <v>0.34117247397006412</v>
      </c>
      <c r="E37" s="390">
        <v>0.20189703112279672</v>
      </c>
      <c r="F37" s="390">
        <v>0.36888009849915421</v>
      </c>
      <c r="G37" s="391">
        <v>5.5593807338421043E-3</v>
      </c>
      <c r="I37" s="365"/>
      <c r="J37" s="387">
        <f t="shared" si="0"/>
        <v>12.708350171903559</v>
      </c>
      <c r="K37" s="387">
        <f t="shared" si="1"/>
        <v>3.6189236929566682</v>
      </c>
    </row>
    <row r="38" spans="1:11" ht="15" customHeight="1" x14ac:dyDescent="0.25">
      <c r="A38" s="388" t="s">
        <v>405</v>
      </c>
      <c r="B38" s="389">
        <v>2.9818035993066802E-2</v>
      </c>
      <c r="C38" s="390">
        <v>3.9222847172540966E-2</v>
      </c>
      <c r="D38" s="390">
        <v>0.38272010310930199</v>
      </c>
      <c r="E38" s="390">
        <v>0.19846385166806296</v>
      </c>
      <c r="F38" s="390">
        <v>0.34243117530287909</v>
      </c>
      <c r="G38" s="391">
        <v>7.3439867541517708E-3</v>
      </c>
      <c r="I38" s="365"/>
      <c r="J38" s="387">
        <f t="shared" si="0"/>
        <v>11.293536516839119</v>
      </c>
      <c r="K38" s="387">
        <f t="shared" si="1"/>
        <v>2.98180359930668</v>
      </c>
    </row>
    <row r="39" spans="1:11" ht="15" customHeight="1" x14ac:dyDescent="0.25">
      <c r="A39" s="388" t="s">
        <v>406</v>
      </c>
      <c r="B39" s="389">
        <v>1.7656763267465621E-2</v>
      </c>
      <c r="C39" s="390">
        <v>5.2108773642268374E-2</v>
      </c>
      <c r="D39" s="390">
        <v>0.39982210100728877</v>
      </c>
      <c r="E39" s="390">
        <v>0.18258356148403179</v>
      </c>
      <c r="F39" s="390">
        <v>0.34048481384479712</v>
      </c>
      <c r="G39" s="391">
        <v>7.3439867541517708E-3</v>
      </c>
      <c r="I39" s="365"/>
      <c r="J39" s="387">
        <f t="shared" si="0"/>
        <v>9.4923416601201325</v>
      </c>
      <c r="K39" s="387">
        <f t="shared" si="1"/>
        <v>1.7656763267465621</v>
      </c>
    </row>
    <row r="40" spans="1:11" ht="15" customHeight="1" thickBot="1" x14ac:dyDescent="0.3">
      <c r="A40" s="393" t="s">
        <v>407</v>
      </c>
      <c r="B40" s="394">
        <v>1.8743180342609876E-2</v>
      </c>
      <c r="C40" s="395">
        <v>4.6886542433092468E-2</v>
      </c>
      <c r="D40" s="395">
        <v>0.42931948382111701</v>
      </c>
      <c r="E40" s="395">
        <v>0.16791658935248727</v>
      </c>
      <c r="F40" s="395">
        <v>0.33494816443928355</v>
      </c>
      <c r="G40" s="396">
        <v>2.1860396114134805E-3</v>
      </c>
      <c r="I40" s="365">
        <v>6</v>
      </c>
      <c r="J40" s="387">
        <f t="shared" si="0"/>
        <v>6.2996933978770544</v>
      </c>
      <c r="K40" s="387">
        <f t="shared" si="1"/>
        <v>1.8743180342609875</v>
      </c>
    </row>
    <row r="41" spans="1:11" ht="15.75" thickTop="1" x14ac:dyDescent="0.25"/>
    <row r="43" spans="1:11" ht="18" customHeight="1" thickBot="1" x14ac:dyDescent="0.3">
      <c r="A43" s="1430" t="s">
        <v>408</v>
      </c>
      <c r="B43" s="1430"/>
      <c r="C43" s="1430"/>
      <c r="D43" s="1430"/>
      <c r="E43" s="1430"/>
      <c r="F43" s="1430"/>
      <c r="G43" s="1430"/>
    </row>
    <row r="44" spans="1:11" ht="69.95" customHeight="1" thickTop="1" x14ac:dyDescent="0.25">
      <c r="A44" s="1428"/>
      <c r="B44" s="376" t="s">
        <v>367</v>
      </c>
      <c r="C44" s="377" t="s">
        <v>412</v>
      </c>
      <c r="D44" s="377" t="s">
        <v>414</v>
      </c>
      <c r="E44" s="377" t="s">
        <v>368</v>
      </c>
      <c r="F44" s="377" t="s">
        <v>369</v>
      </c>
      <c r="G44" s="378" t="s">
        <v>370</v>
      </c>
    </row>
    <row r="45" spans="1:11" ht="15" customHeight="1" thickBot="1" x14ac:dyDescent="0.3">
      <c r="A45" s="1429"/>
      <c r="B45" s="379" t="s">
        <v>371</v>
      </c>
      <c r="C45" s="380" t="s">
        <v>371</v>
      </c>
      <c r="D45" s="380" t="s">
        <v>371</v>
      </c>
      <c r="E45" s="380" t="s">
        <v>371</v>
      </c>
      <c r="F45" s="380" t="s">
        <v>371</v>
      </c>
      <c r="G45" s="381" t="s">
        <v>371</v>
      </c>
    </row>
    <row r="46" spans="1:11" ht="15" customHeight="1" thickTop="1" x14ac:dyDescent="0.25">
      <c r="A46" s="383" t="s">
        <v>372</v>
      </c>
      <c r="B46" s="384">
        <v>0.33224875672515736</v>
      </c>
      <c r="C46" s="385">
        <v>0.14687028556749596</v>
      </c>
      <c r="D46" s="385">
        <v>0.39072582264717054</v>
      </c>
      <c r="E46" s="385">
        <v>0.12559603860031782</v>
      </c>
      <c r="F46" s="397">
        <v>4.5590964598556643E-3</v>
      </c>
      <c r="G46" s="398">
        <v>0</v>
      </c>
    </row>
    <row r="47" spans="1:11" ht="15" customHeight="1" x14ac:dyDescent="0.25">
      <c r="A47" s="388" t="s">
        <v>373</v>
      </c>
      <c r="B47" s="389">
        <v>0.34568035780935474</v>
      </c>
      <c r="C47" s="390">
        <v>0.2742000957130209</v>
      </c>
      <c r="D47" s="390">
        <v>0.22589376470646447</v>
      </c>
      <c r="E47" s="390">
        <v>0.14966668531130134</v>
      </c>
      <c r="F47" s="399">
        <v>4.5590964598556643E-3</v>
      </c>
      <c r="G47" s="392">
        <v>0</v>
      </c>
    </row>
    <row r="48" spans="1:11" ht="15" customHeight="1" x14ac:dyDescent="0.25">
      <c r="A48" s="388" t="s">
        <v>374</v>
      </c>
      <c r="B48" s="389">
        <v>0.36212359436087022</v>
      </c>
      <c r="C48" s="390">
        <v>0.34956860421699537</v>
      </c>
      <c r="D48" s="390">
        <v>9.8021294351450017E-2</v>
      </c>
      <c r="E48" s="390">
        <v>0.18390296232808886</v>
      </c>
      <c r="F48" s="399">
        <v>6.3835447425925011E-3</v>
      </c>
      <c r="G48" s="392">
        <v>0</v>
      </c>
    </row>
    <row r="49" spans="1:7" ht="15" customHeight="1" x14ac:dyDescent="0.25">
      <c r="A49" s="388" t="s">
        <v>375</v>
      </c>
      <c r="B49" s="389">
        <v>0.35557832142899243</v>
      </c>
      <c r="C49" s="390">
        <v>0.37057749743075669</v>
      </c>
      <c r="D49" s="390">
        <v>4.7658321581615919E-2</v>
      </c>
      <c r="E49" s="390">
        <v>0.20321311771013245</v>
      </c>
      <c r="F49" s="390">
        <v>2.297274184849964E-2</v>
      </c>
      <c r="G49" s="392">
        <v>0</v>
      </c>
    </row>
    <row r="50" spans="1:7" ht="15" customHeight="1" x14ac:dyDescent="0.25">
      <c r="A50" s="388" t="s">
        <v>376</v>
      </c>
      <c r="B50" s="389">
        <v>0.34917556828343765</v>
      </c>
      <c r="C50" s="390">
        <v>0.35765437945162609</v>
      </c>
      <c r="D50" s="390">
        <v>3.8373129390740064E-2</v>
      </c>
      <c r="E50" s="390">
        <v>0.23200549643262988</v>
      </c>
      <c r="F50" s="390">
        <v>2.2791426441563411E-2</v>
      </c>
      <c r="G50" s="392">
        <v>0</v>
      </c>
    </row>
    <row r="51" spans="1:7" ht="15" customHeight="1" x14ac:dyDescent="0.25">
      <c r="A51" s="388" t="s">
        <v>377</v>
      </c>
      <c r="B51" s="389">
        <v>0.32340524082190703</v>
      </c>
      <c r="C51" s="390">
        <v>0.34354115590049766</v>
      </c>
      <c r="D51" s="390">
        <v>4.5542662468983398E-2</v>
      </c>
      <c r="E51" s="390">
        <v>0.25910043335833849</v>
      </c>
      <c r="F51" s="390">
        <v>2.8410507450270406E-2</v>
      </c>
      <c r="G51" s="392">
        <v>0</v>
      </c>
    </row>
    <row r="52" spans="1:7" ht="15" customHeight="1" x14ac:dyDescent="0.25">
      <c r="A52" s="388" t="s">
        <v>378</v>
      </c>
      <c r="B52" s="389">
        <v>0.334523194341452</v>
      </c>
      <c r="C52" s="390">
        <v>0.29217271867150818</v>
      </c>
      <c r="D52" s="390">
        <v>6.5377404087980234E-2</v>
      </c>
      <c r="E52" s="390">
        <v>0.27103074591577564</v>
      </c>
      <c r="F52" s="390">
        <v>3.6895936983280975E-2</v>
      </c>
      <c r="G52" s="392">
        <v>0</v>
      </c>
    </row>
    <row r="53" spans="1:7" ht="15" customHeight="1" x14ac:dyDescent="0.25">
      <c r="A53" s="388" t="s">
        <v>379</v>
      </c>
      <c r="B53" s="389">
        <v>0.33853757809872398</v>
      </c>
      <c r="C53" s="390">
        <v>0.26845172470340506</v>
      </c>
      <c r="D53" s="390">
        <v>6.3189383251999992E-2</v>
      </c>
      <c r="E53" s="390">
        <v>0.29328182780753537</v>
      </c>
      <c r="F53" s="390">
        <v>3.653948613833273E-2</v>
      </c>
      <c r="G53" s="392">
        <v>0</v>
      </c>
    </row>
    <row r="54" spans="1:7" ht="15" customHeight="1" x14ac:dyDescent="0.25">
      <c r="A54" s="388" t="s">
        <v>380</v>
      </c>
      <c r="B54" s="389">
        <v>0.29219705341700158</v>
      </c>
      <c r="C54" s="390">
        <v>0.29144803274588654</v>
      </c>
      <c r="D54" s="390">
        <v>6.4322584039691932E-2</v>
      </c>
      <c r="E54" s="390">
        <v>0.29743393684967057</v>
      </c>
      <c r="F54" s="390">
        <v>5.207862778753828E-2</v>
      </c>
      <c r="G54" s="391">
        <v>2.519765160208283E-3</v>
      </c>
    </row>
    <row r="55" spans="1:7" ht="15" customHeight="1" x14ac:dyDescent="0.25">
      <c r="A55" s="388" t="s">
        <v>381</v>
      </c>
      <c r="B55" s="389">
        <v>0.28161677533331869</v>
      </c>
      <c r="C55" s="390">
        <v>0.27065353662768793</v>
      </c>
      <c r="D55" s="390">
        <v>4.6041744385311306E-2</v>
      </c>
      <c r="E55" s="390">
        <v>0.30326484217503069</v>
      </c>
      <c r="F55" s="390">
        <v>9.5903336318440377E-2</v>
      </c>
      <c r="G55" s="391">
        <v>2.519765160208283E-3</v>
      </c>
    </row>
    <row r="56" spans="1:7" ht="15" customHeight="1" x14ac:dyDescent="0.25">
      <c r="A56" s="388" t="s">
        <v>382</v>
      </c>
      <c r="B56" s="389">
        <v>0.29289911436064359</v>
      </c>
      <c r="C56" s="390">
        <v>0.23529891998756944</v>
      </c>
      <c r="D56" s="390">
        <v>3.9185443329553107E-2</v>
      </c>
      <c r="E56" s="390">
        <v>0.31742221941894511</v>
      </c>
      <c r="F56" s="390">
        <v>0.11519430290328589</v>
      </c>
      <c r="G56" s="392">
        <v>0</v>
      </c>
    </row>
    <row r="57" spans="1:7" ht="15" customHeight="1" x14ac:dyDescent="0.25">
      <c r="A57" s="388" t="s">
        <v>383</v>
      </c>
      <c r="B57" s="389">
        <v>0.32116712098942807</v>
      </c>
      <c r="C57" s="390">
        <v>0.18884395108176974</v>
      </c>
      <c r="D57" s="390">
        <v>4.2690224788067901E-2</v>
      </c>
      <c r="E57" s="390">
        <v>0.30655904290607638</v>
      </c>
      <c r="F57" s="390">
        <v>0.13368967789784819</v>
      </c>
      <c r="G57" s="391">
        <v>7.0499823368068279E-3</v>
      </c>
    </row>
    <row r="58" spans="1:7" ht="15" customHeight="1" x14ac:dyDescent="0.25">
      <c r="A58" s="388" t="s">
        <v>384</v>
      </c>
      <c r="B58" s="389">
        <v>0.31360360561982786</v>
      </c>
      <c r="C58" s="390">
        <v>0.1402737865151647</v>
      </c>
      <c r="D58" s="390">
        <v>4.2127375977619036E-2</v>
      </c>
      <c r="E58" s="390">
        <v>0.33916200930218321</v>
      </c>
      <c r="F58" s="390">
        <v>0.15778324024839538</v>
      </c>
      <c r="G58" s="391">
        <v>7.0499823368068279E-3</v>
      </c>
    </row>
    <row r="59" spans="1:7" ht="15" customHeight="1" x14ac:dyDescent="0.25">
      <c r="A59" s="388" t="s">
        <v>385</v>
      </c>
      <c r="B59" s="389">
        <v>0.30223784176830765</v>
      </c>
      <c r="C59" s="390">
        <v>0.11920317724732017</v>
      </c>
      <c r="D59" s="390">
        <v>6.3050527966970499E-2</v>
      </c>
      <c r="E59" s="390">
        <v>0.34602060017597547</v>
      </c>
      <c r="F59" s="390">
        <v>0.16699272610068192</v>
      </c>
      <c r="G59" s="391">
        <v>2.4951267407414242E-3</v>
      </c>
    </row>
    <row r="60" spans="1:7" ht="15" customHeight="1" x14ac:dyDescent="0.25">
      <c r="A60" s="388" t="s">
        <v>386</v>
      </c>
      <c r="B60" s="389">
        <v>0.30368821035262961</v>
      </c>
      <c r="C60" s="390">
        <v>8.5644726288436293E-2</v>
      </c>
      <c r="D60" s="390">
        <v>6.8043156395420148E-2</v>
      </c>
      <c r="E60" s="390">
        <v>0.36957157676700381</v>
      </c>
      <c r="F60" s="390">
        <v>0.16425143366919959</v>
      </c>
      <c r="G60" s="391">
        <v>8.8008965273078422E-3</v>
      </c>
    </row>
    <row r="61" spans="1:7" ht="15" customHeight="1" x14ac:dyDescent="0.25">
      <c r="A61" s="388" t="s">
        <v>387</v>
      </c>
      <c r="B61" s="389">
        <v>0.33774587854779653</v>
      </c>
      <c r="C61" s="390">
        <v>8.8057998968694054E-2</v>
      </c>
      <c r="D61" s="390">
        <v>5.9168762955192508E-2</v>
      </c>
      <c r="E61" s="390">
        <v>0.33209950271490568</v>
      </c>
      <c r="F61" s="390">
        <v>0.17412696028610047</v>
      </c>
      <c r="G61" s="391">
        <v>8.8008965273078422E-3</v>
      </c>
    </row>
    <row r="62" spans="1:7" ht="15" customHeight="1" x14ac:dyDescent="0.25">
      <c r="A62" s="388" t="s">
        <v>388</v>
      </c>
      <c r="B62" s="389">
        <v>0.34036225191772812</v>
      </c>
      <c r="C62" s="390">
        <v>7.3938494092795862E-2</v>
      </c>
      <c r="D62" s="390">
        <v>6.9594759384068033E-2</v>
      </c>
      <c r="E62" s="390">
        <v>0.32933836253826099</v>
      </c>
      <c r="F62" s="390">
        <v>0.18046036228057755</v>
      </c>
      <c r="G62" s="391">
        <v>6.3057697865664172E-3</v>
      </c>
    </row>
    <row r="63" spans="1:7" ht="15" customHeight="1" x14ac:dyDescent="0.25">
      <c r="A63" s="388" t="s">
        <v>389</v>
      </c>
      <c r="B63" s="389">
        <v>0.3506483187647792</v>
      </c>
      <c r="C63" s="390">
        <v>7.3716602460485003E-2</v>
      </c>
      <c r="D63" s="390">
        <v>5.8274531724936678E-2</v>
      </c>
      <c r="E63" s="390">
        <v>0.33543721675986732</v>
      </c>
      <c r="F63" s="390">
        <v>0.18192333028992902</v>
      </c>
      <c r="G63" s="392">
        <v>0</v>
      </c>
    </row>
    <row r="64" spans="1:7" ht="15" customHeight="1" x14ac:dyDescent="0.25">
      <c r="A64" s="388" t="s">
        <v>390</v>
      </c>
      <c r="B64" s="389">
        <v>0.32092441603501887</v>
      </c>
      <c r="C64" s="390">
        <v>8.3063260701964736E-2</v>
      </c>
      <c r="D64" s="390">
        <v>8.4460170580228977E-2</v>
      </c>
      <c r="E64" s="390">
        <v>0.29601995261024189</v>
      </c>
      <c r="F64" s="390">
        <v>0.21553220007254256</v>
      </c>
      <c r="G64" s="392">
        <v>0</v>
      </c>
    </row>
    <row r="65" spans="1:7" ht="15" customHeight="1" x14ac:dyDescent="0.25">
      <c r="A65" s="388" t="s">
        <v>391</v>
      </c>
      <c r="B65" s="389">
        <v>0.30135424787239395</v>
      </c>
      <c r="C65" s="390">
        <v>8.4374159287016498E-2</v>
      </c>
      <c r="D65" s="390">
        <v>9.535469697767894E-2</v>
      </c>
      <c r="E65" s="390">
        <v>0.29069026579443469</v>
      </c>
      <c r="F65" s="390">
        <v>0.22822663006847305</v>
      </c>
      <c r="G65" s="392">
        <v>0</v>
      </c>
    </row>
    <row r="66" spans="1:7" ht="15" customHeight="1" x14ac:dyDescent="0.25">
      <c r="A66" s="388" t="s">
        <v>392</v>
      </c>
      <c r="B66" s="389">
        <v>0.27971143102221913</v>
      </c>
      <c r="C66" s="390">
        <v>7.110044629608997E-2</v>
      </c>
      <c r="D66" s="390">
        <v>0.10886726120445556</v>
      </c>
      <c r="E66" s="390">
        <v>0.27726102139535536</v>
      </c>
      <c r="F66" s="390">
        <v>0.26305984008187722</v>
      </c>
      <c r="G66" s="392">
        <v>0</v>
      </c>
    </row>
    <row r="67" spans="1:7" ht="15" customHeight="1" x14ac:dyDescent="0.25">
      <c r="A67" s="388" t="s">
        <v>393</v>
      </c>
      <c r="B67" s="389">
        <v>0.29695396397110257</v>
      </c>
      <c r="C67" s="390">
        <v>6.8092339217690076E-2</v>
      </c>
      <c r="D67" s="390">
        <v>9.2830988769075709E-2</v>
      </c>
      <c r="E67" s="390">
        <v>0.27891518764869461</v>
      </c>
      <c r="F67" s="390">
        <v>0.26320752039343426</v>
      </c>
      <c r="G67" s="392">
        <v>0</v>
      </c>
    </row>
    <row r="68" spans="1:7" ht="15" customHeight="1" x14ac:dyDescent="0.25">
      <c r="A68" s="388" t="s">
        <v>394</v>
      </c>
      <c r="B68" s="389">
        <v>0.27495087557180414</v>
      </c>
      <c r="C68" s="390">
        <v>7.6541503174477291E-2</v>
      </c>
      <c r="D68" s="390">
        <v>0.11686286012435186</v>
      </c>
      <c r="E68" s="390">
        <v>0.26611724516968582</v>
      </c>
      <c r="F68" s="390">
        <v>0.26552751595967827</v>
      </c>
      <c r="G68" s="392">
        <v>0</v>
      </c>
    </row>
    <row r="69" spans="1:7" ht="15" customHeight="1" x14ac:dyDescent="0.25">
      <c r="A69" s="388" t="s">
        <v>395</v>
      </c>
      <c r="B69" s="389">
        <v>0.24436896703649669</v>
      </c>
      <c r="C69" s="390">
        <v>0.10449939495239276</v>
      </c>
      <c r="D69" s="390">
        <v>0.10839535563468068</v>
      </c>
      <c r="E69" s="390">
        <v>0.24609340182567563</v>
      </c>
      <c r="F69" s="390">
        <v>0.29664288055075161</v>
      </c>
      <c r="G69" s="392">
        <v>0</v>
      </c>
    </row>
    <row r="70" spans="1:7" ht="15" customHeight="1" x14ac:dyDescent="0.25">
      <c r="A70" s="388" t="s">
        <v>396</v>
      </c>
      <c r="B70" s="389">
        <v>0.2486402282429333</v>
      </c>
      <c r="C70" s="390">
        <v>9.9465129322496904E-2</v>
      </c>
      <c r="D70" s="390">
        <v>0.12120901573780954</v>
      </c>
      <c r="E70" s="390">
        <v>0.21121824619673363</v>
      </c>
      <c r="F70" s="390">
        <v>0.31831280573433651</v>
      </c>
      <c r="G70" s="391">
        <v>1.1545747656876483E-3</v>
      </c>
    </row>
    <row r="71" spans="1:7" ht="15" customHeight="1" x14ac:dyDescent="0.25">
      <c r="A71" s="388" t="s">
        <v>397</v>
      </c>
      <c r="B71" s="389">
        <v>0.22774830385414593</v>
      </c>
      <c r="C71" s="390">
        <v>0.11247246903815722</v>
      </c>
      <c r="D71" s="390">
        <v>0.13332725965747963</v>
      </c>
      <c r="E71" s="390">
        <v>0.21698921832354251</v>
      </c>
      <c r="F71" s="390">
        <v>0.30830817436098451</v>
      </c>
      <c r="G71" s="391">
        <v>1.1545747656876483E-3</v>
      </c>
    </row>
    <row r="72" spans="1:7" ht="15" customHeight="1" x14ac:dyDescent="0.25">
      <c r="A72" s="388" t="s">
        <v>398</v>
      </c>
      <c r="B72" s="389">
        <v>0.24133878736505662</v>
      </c>
      <c r="C72" s="390">
        <v>0.10697954046118893</v>
      </c>
      <c r="D72" s="390">
        <v>0.14892715818969851</v>
      </c>
      <c r="E72" s="390">
        <v>0.18920948400119528</v>
      </c>
      <c r="F72" s="390">
        <v>0.31239045521717057</v>
      </c>
      <c r="G72" s="391">
        <v>1.1545747656876483E-3</v>
      </c>
    </row>
    <row r="73" spans="1:7" ht="15" customHeight="1" x14ac:dyDescent="0.25">
      <c r="A73" s="388" t="s">
        <v>399</v>
      </c>
      <c r="B73" s="389">
        <v>0.19263738449617587</v>
      </c>
      <c r="C73" s="390">
        <v>0.10619737048975547</v>
      </c>
      <c r="D73" s="390">
        <v>0.16880038528077881</v>
      </c>
      <c r="E73" s="390">
        <v>0.19283965805756759</v>
      </c>
      <c r="F73" s="390">
        <v>0.33837062691003195</v>
      </c>
      <c r="G73" s="391">
        <v>1.1545747656876483E-3</v>
      </c>
    </row>
    <row r="74" spans="1:7" ht="15" customHeight="1" x14ac:dyDescent="0.25">
      <c r="A74" s="388" t="s">
        <v>400</v>
      </c>
      <c r="B74" s="389">
        <v>0.17831165999939969</v>
      </c>
      <c r="C74" s="390">
        <v>7.5163821852452878E-2</v>
      </c>
      <c r="D74" s="390">
        <v>0.18948457395221319</v>
      </c>
      <c r="E74" s="390">
        <v>0.20007919460083612</v>
      </c>
      <c r="F74" s="390">
        <v>0.3558061748294078</v>
      </c>
      <c r="G74" s="391">
        <v>1.1545747656876483E-3</v>
      </c>
    </row>
    <row r="75" spans="1:7" ht="15" customHeight="1" x14ac:dyDescent="0.25">
      <c r="A75" s="388" t="s">
        <v>401</v>
      </c>
      <c r="B75" s="389">
        <v>0.1723039195865293</v>
      </c>
      <c r="C75" s="390">
        <v>6.6010919504837007E-2</v>
      </c>
      <c r="D75" s="390">
        <v>0.20639265176791041</v>
      </c>
      <c r="E75" s="390">
        <v>0.18380172340730025</v>
      </c>
      <c r="F75" s="390">
        <v>0.37033621096773289</v>
      </c>
      <c r="G75" s="391">
        <v>1.1545747656876483E-3</v>
      </c>
    </row>
    <row r="76" spans="1:7" ht="15" customHeight="1" x14ac:dyDescent="0.25">
      <c r="A76" s="388" t="s">
        <v>402</v>
      </c>
      <c r="B76" s="389">
        <v>0.13461758505458329</v>
      </c>
      <c r="C76" s="390">
        <v>5.4956738256630416E-2</v>
      </c>
      <c r="D76" s="390">
        <v>0.23362794742174253</v>
      </c>
      <c r="E76" s="390">
        <v>0.18550639197855034</v>
      </c>
      <c r="F76" s="390">
        <v>0.39129133728849086</v>
      </c>
      <c r="G76" s="392">
        <v>0</v>
      </c>
    </row>
    <row r="77" spans="1:7" ht="15" customHeight="1" x14ac:dyDescent="0.25">
      <c r="A77" s="388" t="s">
        <v>403</v>
      </c>
      <c r="B77" s="389">
        <v>0.13041123843969768</v>
      </c>
      <c r="C77" s="390">
        <v>4.3519098884493033E-2</v>
      </c>
      <c r="D77" s="390">
        <v>0.223692608645082</v>
      </c>
      <c r="E77" s="390">
        <v>0.19965536694807398</v>
      </c>
      <c r="F77" s="390">
        <v>0.40272168708265083</v>
      </c>
      <c r="G77" s="392">
        <v>0</v>
      </c>
    </row>
    <row r="78" spans="1:7" ht="15" customHeight="1" x14ac:dyDescent="0.25">
      <c r="A78" s="388" t="s">
        <v>404</v>
      </c>
      <c r="B78" s="389">
        <v>0.1270835017190356</v>
      </c>
      <c r="C78" s="390">
        <v>2.8465327449364222E-2</v>
      </c>
      <c r="D78" s="390">
        <v>0.24059418485408396</v>
      </c>
      <c r="E78" s="390">
        <v>0.1963070939522801</v>
      </c>
      <c r="F78" s="390">
        <v>0.40754989202523345</v>
      </c>
      <c r="G78" s="392">
        <v>0</v>
      </c>
    </row>
    <row r="79" spans="1:7" ht="15" customHeight="1" x14ac:dyDescent="0.25">
      <c r="A79" s="388" t="s">
        <v>405</v>
      </c>
      <c r="B79" s="389">
        <v>0.11293536516839119</v>
      </c>
      <c r="C79" s="390">
        <v>2.8713226808050111E-2</v>
      </c>
      <c r="D79" s="390">
        <v>0.28071845717693811</v>
      </c>
      <c r="E79" s="390">
        <v>0.18859418394556454</v>
      </c>
      <c r="F79" s="390">
        <v>0.38544070746899706</v>
      </c>
      <c r="G79" s="391">
        <v>3.5980594320566437E-3</v>
      </c>
    </row>
    <row r="80" spans="1:7" ht="15" customHeight="1" x14ac:dyDescent="0.25">
      <c r="A80" s="388" t="s">
        <v>406</v>
      </c>
      <c r="B80" s="389">
        <v>9.4923416601201321E-2</v>
      </c>
      <c r="C80" s="390">
        <v>2.1401797399690312E-2</v>
      </c>
      <c r="D80" s="390">
        <v>0.3016904668511402</v>
      </c>
      <c r="E80" s="390">
        <v>0.18013286441282295</v>
      </c>
      <c r="F80" s="390">
        <v>0.39825339530308612</v>
      </c>
      <c r="G80" s="391">
        <v>3.5980594320566437E-3</v>
      </c>
    </row>
    <row r="81" spans="1:7" ht="15" customHeight="1" thickBot="1" x14ac:dyDescent="0.3">
      <c r="A81" s="393" t="s">
        <v>407</v>
      </c>
      <c r="B81" s="394">
        <v>6.2996933978770542E-2</v>
      </c>
      <c r="C81" s="395">
        <v>2.554749802438392E-2</v>
      </c>
      <c r="D81" s="395">
        <v>0.34579839804888268</v>
      </c>
      <c r="E81" s="395">
        <v>0.16880496460845473</v>
      </c>
      <c r="F81" s="395">
        <v>0.39325414590744884</v>
      </c>
      <c r="G81" s="396">
        <v>3.5980594320566437E-3</v>
      </c>
    </row>
  </sheetData>
  <mergeCells count="5">
    <mergeCell ref="A2:G2"/>
    <mergeCell ref="A3:A4"/>
    <mergeCell ref="A43:G43"/>
    <mergeCell ref="A44:A45"/>
    <mergeCell ref="M4:Y5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81"/>
  <sheetViews>
    <sheetView topLeftCell="L1" workbookViewId="0">
      <selection activeCell="M3" sqref="M3"/>
    </sheetView>
  </sheetViews>
  <sheetFormatPr defaultRowHeight="15" x14ac:dyDescent="0.25"/>
  <cols>
    <col min="1" max="1" width="6.85546875" style="339" customWidth="1"/>
    <col min="2" max="2" width="13.28515625" style="339" customWidth="1"/>
    <col min="3" max="3" width="10.7109375" style="339" customWidth="1"/>
    <col min="4" max="4" width="11.7109375" style="339" customWidth="1"/>
    <col min="5" max="5" width="11" style="339" customWidth="1"/>
    <col min="6" max="6" width="9" style="339" customWidth="1"/>
    <col min="7" max="7" width="10.7109375" style="339" customWidth="1"/>
    <col min="8" max="9" width="9.140625" style="339"/>
    <col min="10" max="10" width="12.7109375" style="339" customWidth="1"/>
    <col min="11" max="11" width="11.85546875" style="339" customWidth="1"/>
    <col min="12" max="12" width="9.140625" style="339"/>
    <col min="13" max="14" width="10.85546875" style="339" customWidth="1"/>
    <col min="15" max="15" width="10.42578125" style="339" customWidth="1"/>
    <col min="16" max="23" width="9.140625" style="339"/>
    <col min="24" max="24" width="12.85546875" style="339" customWidth="1"/>
    <col min="25" max="16384" width="9.140625" style="339"/>
  </cols>
  <sheetData>
    <row r="2" spans="1:24" ht="18" customHeight="1" thickBot="1" x14ac:dyDescent="0.3">
      <c r="A2" s="1427" t="s">
        <v>366</v>
      </c>
      <c r="B2" s="1427"/>
      <c r="C2" s="1427"/>
      <c r="D2" s="1427"/>
      <c r="E2" s="1427"/>
      <c r="F2" s="1427"/>
      <c r="G2" s="1427"/>
    </row>
    <row r="3" spans="1:24" ht="69.95" customHeight="1" thickTop="1" x14ac:dyDescent="0.25">
      <c r="A3" s="1428"/>
      <c r="B3" s="376" t="s">
        <v>367</v>
      </c>
      <c r="C3" s="377" t="s">
        <v>412</v>
      </c>
      <c r="D3" s="377" t="s">
        <v>413</v>
      </c>
      <c r="E3" s="377" t="s">
        <v>368</v>
      </c>
      <c r="F3" s="377" t="s">
        <v>369</v>
      </c>
      <c r="G3" s="378" t="s">
        <v>370</v>
      </c>
    </row>
    <row r="4" spans="1:24" ht="15" customHeight="1" thickBot="1" x14ac:dyDescent="0.3">
      <c r="A4" s="1429"/>
      <c r="B4" s="379" t="s">
        <v>371</v>
      </c>
      <c r="C4" s="380" t="s">
        <v>371</v>
      </c>
      <c r="D4" s="380" t="s">
        <v>371</v>
      </c>
      <c r="E4" s="380" t="s">
        <v>371</v>
      </c>
      <c r="F4" s="380" t="s">
        <v>371</v>
      </c>
      <c r="G4" s="381" t="s">
        <v>371</v>
      </c>
      <c r="I4" s="365"/>
      <c r="J4" s="382" t="s">
        <v>11</v>
      </c>
      <c r="K4" s="382" t="s">
        <v>12</v>
      </c>
      <c r="M4" s="1431" t="s">
        <v>483</v>
      </c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</row>
    <row r="5" spans="1:24" ht="15" customHeight="1" thickTop="1" x14ac:dyDescent="0.25">
      <c r="A5" s="383" t="s">
        <v>372</v>
      </c>
      <c r="B5" s="384">
        <v>0.20697093576563166</v>
      </c>
      <c r="C5" s="385">
        <v>0.18617003394687073</v>
      </c>
      <c r="D5" s="385">
        <v>0.41323811300230884</v>
      </c>
      <c r="E5" s="385">
        <v>0.16860084247598578</v>
      </c>
      <c r="F5" s="385">
        <v>2.1789134535116064E-2</v>
      </c>
      <c r="G5" s="386">
        <v>3.2309402740907027E-3</v>
      </c>
      <c r="I5" s="365"/>
      <c r="J5" s="387">
        <f>C46*100</f>
        <v>14.687028556749596</v>
      </c>
      <c r="K5" s="387">
        <f>C5*100</f>
        <v>18.617003394687075</v>
      </c>
      <c r="M5" s="1431"/>
      <c r="N5" s="1431"/>
      <c r="O5" s="1431"/>
      <c r="P5" s="1431"/>
      <c r="Q5" s="1431"/>
      <c r="R5" s="1431"/>
      <c r="S5" s="1431"/>
      <c r="T5" s="1431"/>
      <c r="U5" s="1431"/>
      <c r="V5" s="1431"/>
      <c r="W5" s="1431"/>
      <c r="X5" s="1431"/>
    </row>
    <row r="6" spans="1:24" ht="15" customHeight="1" x14ac:dyDescent="0.25">
      <c r="A6" s="388" t="s">
        <v>373</v>
      </c>
      <c r="B6" s="389">
        <v>0.21245320834594569</v>
      </c>
      <c r="C6" s="390">
        <v>0.29028067416471881</v>
      </c>
      <c r="D6" s="390">
        <v>0.2698908037332437</v>
      </c>
      <c r="E6" s="390">
        <v>0.19861855358396499</v>
      </c>
      <c r="F6" s="390">
        <v>2.5525819898039915E-2</v>
      </c>
      <c r="G6" s="391">
        <v>3.2309402740907027E-3</v>
      </c>
      <c r="I6" s="365"/>
      <c r="J6" s="387">
        <f t="shared" ref="J6:J40" si="0">C47*100</f>
        <v>27.420009571302089</v>
      </c>
      <c r="K6" s="387">
        <f t="shared" ref="K6:K40" si="1">C6*100</f>
        <v>29.028067416471881</v>
      </c>
    </row>
    <row r="7" spans="1:24" ht="15" customHeight="1" x14ac:dyDescent="0.25">
      <c r="A7" s="388" t="s">
        <v>374</v>
      </c>
      <c r="B7" s="389">
        <v>0.17693885561980402</v>
      </c>
      <c r="C7" s="390">
        <v>0.4011562605544019</v>
      </c>
      <c r="D7" s="390">
        <v>0.16464264922815025</v>
      </c>
      <c r="E7" s="390">
        <v>0.22923830658568797</v>
      </c>
      <c r="F7" s="390">
        <v>2.8023928011959708E-2</v>
      </c>
      <c r="G7" s="392">
        <v>0</v>
      </c>
      <c r="I7" s="365"/>
      <c r="J7" s="387">
        <f t="shared" si="0"/>
        <v>34.956860421699538</v>
      </c>
      <c r="K7" s="387">
        <f t="shared" si="1"/>
        <v>40.115626055440188</v>
      </c>
    </row>
    <row r="8" spans="1:24" ht="15" customHeight="1" x14ac:dyDescent="0.25">
      <c r="A8" s="388" t="s">
        <v>375</v>
      </c>
      <c r="B8" s="389">
        <v>0.15346043702323034</v>
      </c>
      <c r="C8" s="390">
        <v>0.44072426743327214</v>
      </c>
      <c r="D8" s="390">
        <v>9.2008759851099936E-2</v>
      </c>
      <c r="E8" s="390">
        <v>0.27147086531332904</v>
      </c>
      <c r="F8" s="390">
        <v>4.1418550703090216E-2</v>
      </c>
      <c r="G8" s="391">
        <v>9.1711967598198467E-4</v>
      </c>
      <c r="I8" s="365"/>
      <c r="J8" s="387">
        <f t="shared" si="0"/>
        <v>37.057749743075668</v>
      </c>
      <c r="K8" s="387">
        <f t="shared" si="1"/>
        <v>44.072426743327213</v>
      </c>
    </row>
    <row r="9" spans="1:24" ht="15" customHeight="1" x14ac:dyDescent="0.25">
      <c r="A9" s="388" t="s">
        <v>376</v>
      </c>
      <c r="B9" s="389">
        <v>0.1382452133206446</v>
      </c>
      <c r="C9" s="390">
        <v>0.40327926029534877</v>
      </c>
      <c r="D9" s="390">
        <v>7.3184728517348835E-2</v>
      </c>
      <c r="E9" s="390">
        <v>0.31916416319970825</v>
      </c>
      <c r="F9" s="390">
        <v>6.0419782430065565E-2</v>
      </c>
      <c r="G9" s="391">
        <v>5.7068522368876502E-3</v>
      </c>
      <c r="I9" s="365"/>
      <c r="J9" s="387">
        <f t="shared" si="0"/>
        <v>35.76543794516261</v>
      </c>
      <c r="K9" s="387">
        <f t="shared" si="1"/>
        <v>40.327926029534879</v>
      </c>
    </row>
    <row r="10" spans="1:24" ht="15" customHeight="1" x14ac:dyDescent="0.25">
      <c r="A10" s="388" t="s">
        <v>377</v>
      </c>
      <c r="B10" s="389">
        <v>0.1358869387428614</v>
      </c>
      <c r="C10" s="390">
        <v>0.35813356510422628</v>
      </c>
      <c r="D10" s="390">
        <v>8.1709639402374079E-2</v>
      </c>
      <c r="E10" s="390">
        <v>0.35119604033282653</v>
      </c>
      <c r="F10" s="390">
        <v>7.2156696741733237E-2</v>
      </c>
      <c r="G10" s="391">
        <v>9.1711967598198467E-4</v>
      </c>
      <c r="I10" s="365">
        <v>1</v>
      </c>
      <c r="J10" s="387">
        <f t="shared" si="0"/>
        <v>34.354115590049766</v>
      </c>
      <c r="K10" s="387">
        <f t="shared" si="1"/>
        <v>35.813356510422629</v>
      </c>
    </row>
    <row r="11" spans="1:24" ht="15" customHeight="1" x14ac:dyDescent="0.25">
      <c r="A11" s="388" t="s">
        <v>378</v>
      </c>
      <c r="B11" s="389">
        <v>0.1487066443076823</v>
      </c>
      <c r="C11" s="390">
        <v>0.2786343292786162</v>
      </c>
      <c r="D11" s="390">
        <v>4.8614889238659885E-2</v>
      </c>
      <c r="E11" s="390">
        <v>0.42205475716122876</v>
      </c>
      <c r="F11" s="390">
        <v>0.10198938001381648</v>
      </c>
      <c r="G11" s="392">
        <v>0</v>
      </c>
      <c r="I11" s="365"/>
      <c r="J11" s="387">
        <f t="shared" si="0"/>
        <v>29.217271867150817</v>
      </c>
      <c r="K11" s="387">
        <f t="shared" si="1"/>
        <v>27.86343292786162</v>
      </c>
    </row>
    <row r="12" spans="1:24" ht="15" customHeight="1" x14ac:dyDescent="0.25">
      <c r="A12" s="388" t="s">
        <v>379</v>
      </c>
      <c r="B12" s="389">
        <v>0.15764047869470016</v>
      </c>
      <c r="C12" s="390">
        <v>0.21206987420002382</v>
      </c>
      <c r="D12" s="390">
        <v>7.1614318545048294E-2</v>
      </c>
      <c r="E12" s="390">
        <v>0.43886209392793257</v>
      </c>
      <c r="F12" s="390">
        <v>0.11981323463229905</v>
      </c>
      <c r="G12" s="392">
        <v>0</v>
      </c>
      <c r="I12" s="365"/>
      <c r="J12" s="387">
        <f t="shared" si="0"/>
        <v>26.845172470340508</v>
      </c>
      <c r="K12" s="387">
        <f t="shared" si="1"/>
        <v>21.206987420002381</v>
      </c>
    </row>
    <row r="13" spans="1:24" ht="15" customHeight="1" x14ac:dyDescent="0.25">
      <c r="A13" s="388" t="s">
        <v>380</v>
      </c>
      <c r="B13" s="389">
        <v>0.13768400551601215</v>
      </c>
      <c r="C13" s="390">
        <v>0.17928866089662443</v>
      </c>
      <c r="D13" s="390">
        <v>8.1885974382477772E-2</v>
      </c>
      <c r="E13" s="390">
        <v>0.46320271918881545</v>
      </c>
      <c r="F13" s="390">
        <v>0.137938640016074</v>
      </c>
      <c r="G13" s="392">
        <v>0</v>
      </c>
      <c r="I13" s="365"/>
      <c r="J13" s="387">
        <f t="shared" si="0"/>
        <v>29.144803274588654</v>
      </c>
      <c r="K13" s="387">
        <f t="shared" si="1"/>
        <v>17.928866089662442</v>
      </c>
    </row>
    <row r="14" spans="1:24" ht="15" customHeight="1" x14ac:dyDescent="0.25">
      <c r="A14" s="388" t="s">
        <v>381</v>
      </c>
      <c r="B14" s="389">
        <v>0.15813975440560862</v>
      </c>
      <c r="C14" s="390">
        <v>0.14127648290126768</v>
      </c>
      <c r="D14" s="390">
        <v>7.1789892689549342E-2</v>
      </c>
      <c r="E14" s="390">
        <v>0.46390998907471703</v>
      </c>
      <c r="F14" s="390">
        <v>0.15938405485263143</v>
      </c>
      <c r="G14" s="391">
        <v>5.4998260762296799E-3</v>
      </c>
      <c r="I14" s="365"/>
      <c r="J14" s="387">
        <f t="shared" si="0"/>
        <v>27.065353662768793</v>
      </c>
      <c r="K14" s="387">
        <f t="shared" si="1"/>
        <v>14.127648290126768</v>
      </c>
    </row>
    <row r="15" spans="1:24" ht="15" customHeight="1" x14ac:dyDescent="0.25">
      <c r="A15" s="388" t="s">
        <v>382</v>
      </c>
      <c r="B15" s="389">
        <v>0.14975137721980478</v>
      </c>
      <c r="C15" s="390">
        <v>0.15199058140625671</v>
      </c>
      <c r="D15" s="390">
        <v>7.1423988230101876E-2</v>
      </c>
      <c r="E15" s="390">
        <v>0.45046959545334431</v>
      </c>
      <c r="F15" s="390">
        <v>0.17086463161426649</v>
      </c>
      <c r="G15" s="391">
        <v>5.4998260762296799E-3</v>
      </c>
      <c r="I15" s="365"/>
      <c r="J15" s="387">
        <f t="shared" si="0"/>
        <v>23.529891998756945</v>
      </c>
      <c r="K15" s="387">
        <f t="shared" si="1"/>
        <v>15.19905814062567</v>
      </c>
    </row>
    <row r="16" spans="1:24" ht="15" customHeight="1" x14ac:dyDescent="0.25">
      <c r="A16" s="388" t="s">
        <v>383</v>
      </c>
      <c r="B16" s="389">
        <v>0.17111232942105142</v>
      </c>
      <c r="C16" s="390">
        <v>0.12954720197906255</v>
      </c>
      <c r="D16" s="390">
        <v>7.610183776547072E-2</v>
      </c>
      <c r="E16" s="390">
        <v>0.43960903251276867</v>
      </c>
      <c r="F16" s="390">
        <v>0.17812977224542073</v>
      </c>
      <c r="G16" s="391">
        <v>5.4998260762296799E-3</v>
      </c>
      <c r="I16" s="365">
        <v>2</v>
      </c>
      <c r="J16" s="387">
        <f t="shared" si="0"/>
        <v>18.884395108176975</v>
      </c>
      <c r="K16" s="387">
        <f t="shared" si="1"/>
        <v>12.954720197906255</v>
      </c>
    </row>
    <row r="17" spans="1:11" ht="15" customHeight="1" x14ac:dyDescent="0.25">
      <c r="A17" s="388" t="s">
        <v>384</v>
      </c>
      <c r="B17" s="389">
        <v>0.18083906355355911</v>
      </c>
      <c r="C17" s="390">
        <v>0.1253235577678278</v>
      </c>
      <c r="D17" s="390">
        <v>7.5796599653554217E-2</v>
      </c>
      <c r="E17" s="390">
        <v>0.40161778416518584</v>
      </c>
      <c r="F17" s="390">
        <v>0.20965236802322565</v>
      </c>
      <c r="G17" s="391">
        <v>6.7706268366510055E-3</v>
      </c>
      <c r="I17" s="365"/>
      <c r="J17" s="387">
        <f t="shared" si="0"/>
        <v>14.02737865151647</v>
      </c>
      <c r="K17" s="387">
        <f t="shared" si="1"/>
        <v>12.532355776782781</v>
      </c>
    </row>
    <row r="18" spans="1:11" ht="15" customHeight="1" x14ac:dyDescent="0.25">
      <c r="A18" s="388" t="s">
        <v>385</v>
      </c>
      <c r="B18" s="389">
        <v>0.17918304264490081</v>
      </c>
      <c r="C18" s="390">
        <v>0.12181619150378051</v>
      </c>
      <c r="D18" s="390">
        <v>6.9246212471114593E-2</v>
      </c>
      <c r="E18" s="390">
        <v>0.39862886380317603</v>
      </c>
      <c r="F18" s="390">
        <v>0.2219976209041766</v>
      </c>
      <c r="G18" s="391">
        <v>9.1280686728551115E-3</v>
      </c>
      <c r="I18" s="365"/>
      <c r="J18" s="387">
        <f t="shared" si="0"/>
        <v>11.920317724732017</v>
      </c>
      <c r="K18" s="387">
        <f t="shared" si="1"/>
        <v>12.181619150378051</v>
      </c>
    </row>
    <row r="19" spans="1:11" ht="15" customHeight="1" x14ac:dyDescent="0.25">
      <c r="A19" s="388" t="s">
        <v>386</v>
      </c>
      <c r="B19" s="389">
        <v>0.17851159577899833</v>
      </c>
      <c r="C19" s="390">
        <v>0.12727961047872505</v>
      </c>
      <c r="D19" s="390">
        <v>6.763390256911618E-2</v>
      </c>
      <c r="E19" s="390">
        <v>0.38970188302706338</v>
      </c>
      <c r="F19" s="390">
        <v>0.22983659198278719</v>
      </c>
      <c r="G19" s="391">
        <v>7.0364161633136605E-3</v>
      </c>
      <c r="I19" s="365"/>
      <c r="J19" s="387">
        <f t="shared" si="0"/>
        <v>8.5644726288436299</v>
      </c>
      <c r="K19" s="387">
        <f t="shared" si="1"/>
        <v>12.727961047872505</v>
      </c>
    </row>
    <row r="20" spans="1:11" ht="15" customHeight="1" x14ac:dyDescent="0.25">
      <c r="A20" s="388" t="s">
        <v>387</v>
      </c>
      <c r="B20" s="389">
        <v>0.181351567540878</v>
      </c>
      <c r="C20" s="390">
        <v>0.13537207465154455</v>
      </c>
      <c r="D20" s="390">
        <v>5.3607064915925449E-2</v>
      </c>
      <c r="E20" s="390">
        <v>0.38533031075853413</v>
      </c>
      <c r="F20" s="390">
        <v>0.24306818137270036</v>
      </c>
      <c r="G20" s="391">
        <v>1.2708007604213247E-3</v>
      </c>
      <c r="I20" s="365"/>
      <c r="J20" s="387">
        <f t="shared" si="0"/>
        <v>8.8057998968694058</v>
      </c>
      <c r="K20" s="387">
        <f t="shared" si="1"/>
        <v>13.537207465154456</v>
      </c>
    </row>
    <row r="21" spans="1:11" ht="15" customHeight="1" x14ac:dyDescent="0.25">
      <c r="A21" s="388" t="s">
        <v>388</v>
      </c>
      <c r="B21" s="389">
        <v>0.17869790068992839</v>
      </c>
      <c r="C21" s="390">
        <v>0.13786412756629474</v>
      </c>
      <c r="D21" s="390">
        <v>5.933578971024709E-2</v>
      </c>
      <c r="E21" s="390">
        <v>0.34785575061455842</v>
      </c>
      <c r="F21" s="390">
        <v>0.27274970181822178</v>
      </c>
      <c r="G21" s="391">
        <v>3.4967296007533573E-3</v>
      </c>
      <c r="I21" s="365"/>
      <c r="J21" s="387">
        <f t="shared" si="0"/>
        <v>7.3938494092795866</v>
      </c>
      <c r="K21" s="387">
        <f t="shared" si="1"/>
        <v>13.786412756629474</v>
      </c>
    </row>
    <row r="22" spans="1:11" ht="15" customHeight="1" x14ac:dyDescent="0.25">
      <c r="A22" s="388" t="s">
        <v>389</v>
      </c>
      <c r="B22" s="389">
        <v>0.18159336580809421</v>
      </c>
      <c r="C22" s="390">
        <v>0.11791506542181639</v>
      </c>
      <c r="D22" s="390">
        <v>6.1813606522899633E-2</v>
      </c>
      <c r="E22" s="390">
        <v>0.35275927999787521</v>
      </c>
      <c r="F22" s="390">
        <v>0.2824219526485649</v>
      </c>
      <c r="G22" s="391">
        <v>3.4967296007533573E-3</v>
      </c>
      <c r="I22" s="365">
        <v>3</v>
      </c>
      <c r="J22" s="387">
        <f t="shared" si="0"/>
        <v>7.3716602460485001</v>
      </c>
      <c r="K22" s="387">
        <f t="shared" si="1"/>
        <v>11.791506542181638</v>
      </c>
    </row>
    <row r="23" spans="1:11" ht="15" customHeight="1" x14ac:dyDescent="0.25">
      <c r="A23" s="388" t="s">
        <v>390</v>
      </c>
      <c r="B23" s="389">
        <v>0.17861866671104346</v>
      </c>
      <c r="C23" s="390">
        <v>9.0632352792705373E-2</v>
      </c>
      <c r="D23" s="390">
        <v>0.10934415398065274</v>
      </c>
      <c r="E23" s="390">
        <v>0.3222044014496982</v>
      </c>
      <c r="F23" s="390">
        <v>0.29570369546515046</v>
      </c>
      <c r="G23" s="391">
        <v>3.4967296007533573E-3</v>
      </c>
      <c r="I23" s="365"/>
      <c r="J23" s="387">
        <f t="shared" si="0"/>
        <v>8.306326070196473</v>
      </c>
      <c r="K23" s="387">
        <f t="shared" si="1"/>
        <v>9.063235279270538</v>
      </c>
    </row>
    <row r="24" spans="1:11" ht="15" customHeight="1" x14ac:dyDescent="0.25">
      <c r="A24" s="388" t="s">
        <v>391</v>
      </c>
      <c r="B24" s="389">
        <v>0.15674346396724084</v>
      </c>
      <c r="C24" s="390">
        <v>0.10025638063671768</v>
      </c>
      <c r="D24" s="390">
        <v>0.10598745217551001</v>
      </c>
      <c r="E24" s="390">
        <v>0.31465374085856962</v>
      </c>
      <c r="F24" s="390">
        <v>0.32235896236196532</v>
      </c>
      <c r="G24" s="392">
        <v>0</v>
      </c>
      <c r="I24" s="365"/>
      <c r="J24" s="387">
        <f t="shared" si="0"/>
        <v>8.4374159287016504</v>
      </c>
      <c r="K24" s="387">
        <f t="shared" si="1"/>
        <v>10.025638063671769</v>
      </c>
    </row>
    <row r="25" spans="1:11" ht="15" customHeight="1" x14ac:dyDescent="0.25">
      <c r="A25" s="388" t="s">
        <v>392</v>
      </c>
      <c r="B25" s="389">
        <v>0.14507081599161514</v>
      </c>
      <c r="C25" s="390">
        <v>9.7947107682096343E-2</v>
      </c>
      <c r="D25" s="390">
        <v>0.13578663597395024</v>
      </c>
      <c r="E25" s="390">
        <v>0.29487180324040324</v>
      </c>
      <c r="F25" s="390">
        <v>0.32632363711193851</v>
      </c>
      <c r="G25" s="392">
        <v>0</v>
      </c>
      <c r="I25" s="365"/>
      <c r="J25" s="387">
        <f t="shared" si="0"/>
        <v>7.1100446296089972</v>
      </c>
      <c r="K25" s="387">
        <f t="shared" si="1"/>
        <v>9.7947107682096348</v>
      </c>
    </row>
    <row r="26" spans="1:11" ht="15" customHeight="1" x14ac:dyDescent="0.25">
      <c r="A26" s="388" t="s">
        <v>393</v>
      </c>
      <c r="B26" s="389">
        <v>0.13135068699301039</v>
      </c>
      <c r="C26" s="390">
        <v>9.6958458943824766E-2</v>
      </c>
      <c r="D26" s="390">
        <v>0.14875924708421781</v>
      </c>
      <c r="E26" s="390">
        <v>0.27943829875529391</v>
      </c>
      <c r="F26" s="390">
        <v>0.34349330822365659</v>
      </c>
      <c r="G26" s="392">
        <v>0</v>
      </c>
      <c r="I26" s="365"/>
      <c r="J26" s="387">
        <f t="shared" si="0"/>
        <v>6.8092339217690077</v>
      </c>
      <c r="K26" s="387">
        <f t="shared" si="1"/>
        <v>9.6958458943824759</v>
      </c>
    </row>
    <row r="27" spans="1:11" ht="15" customHeight="1" x14ac:dyDescent="0.25">
      <c r="A27" s="388" t="s">
        <v>394</v>
      </c>
      <c r="B27" s="389">
        <v>0.12590607467011991</v>
      </c>
      <c r="C27" s="390">
        <v>0.10264516068307243</v>
      </c>
      <c r="D27" s="390">
        <v>0.13196529327412221</v>
      </c>
      <c r="E27" s="390">
        <v>0.28661679728675549</v>
      </c>
      <c r="F27" s="390">
        <v>0.35286667408593347</v>
      </c>
      <c r="G27" s="392">
        <v>0</v>
      </c>
      <c r="I27" s="365"/>
      <c r="J27" s="387">
        <f t="shared" si="0"/>
        <v>7.654150317447729</v>
      </c>
      <c r="K27" s="387">
        <f t="shared" si="1"/>
        <v>10.264516068307243</v>
      </c>
    </row>
    <row r="28" spans="1:11" ht="15" customHeight="1" x14ac:dyDescent="0.25">
      <c r="A28" s="388" t="s">
        <v>395</v>
      </c>
      <c r="B28" s="389">
        <v>0.12477095709801388</v>
      </c>
      <c r="C28" s="390">
        <v>0.10994609361886001</v>
      </c>
      <c r="D28" s="390">
        <v>0.14238894734996588</v>
      </c>
      <c r="E28" s="390">
        <v>0.27521079396334064</v>
      </c>
      <c r="F28" s="390">
        <v>0.3476832079698231</v>
      </c>
      <c r="G28" s="392">
        <v>0</v>
      </c>
      <c r="I28" s="365">
        <v>4</v>
      </c>
      <c r="J28" s="387">
        <f t="shared" si="0"/>
        <v>10.449939495239276</v>
      </c>
      <c r="K28" s="387">
        <f t="shared" si="1"/>
        <v>10.994609361886001</v>
      </c>
    </row>
    <row r="29" spans="1:11" ht="15" customHeight="1" x14ac:dyDescent="0.25">
      <c r="A29" s="388" t="s">
        <v>396</v>
      </c>
      <c r="B29" s="389">
        <v>0.1122611505164596</v>
      </c>
      <c r="C29" s="390">
        <v>0.10333361232857577</v>
      </c>
      <c r="D29" s="390">
        <v>0.17790677755570372</v>
      </c>
      <c r="E29" s="390">
        <v>0.25920912725447026</v>
      </c>
      <c r="F29" s="390">
        <v>0.34572193740541612</v>
      </c>
      <c r="G29" s="391">
        <v>1.5673949393779809E-3</v>
      </c>
      <c r="I29" s="365"/>
      <c r="J29" s="387">
        <f t="shared" si="0"/>
        <v>9.946512932249691</v>
      </c>
      <c r="K29" s="387">
        <f t="shared" si="1"/>
        <v>10.333361232857577</v>
      </c>
    </row>
    <row r="30" spans="1:11" ht="15" customHeight="1" x14ac:dyDescent="0.25">
      <c r="A30" s="388" t="s">
        <v>397</v>
      </c>
      <c r="B30" s="389">
        <v>9.2451849044540582E-2</v>
      </c>
      <c r="C30" s="390">
        <v>0.11446217843892319</v>
      </c>
      <c r="D30" s="390">
        <v>0.18545512390903204</v>
      </c>
      <c r="E30" s="390">
        <v>0.24507997004086285</v>
      </c>
      <c r="F30" s="390">
        <v>0.3561937510663612</v>
      </c>
      <c r="G30" s="391">
        <v>6.3571275002836485E-3</v>
      </c>
      <c r="I30" s="365"/>
      <c r="J30" s="387">
        <f t="shared" si="0"/>
        <v>11.247246903815721</v>
      </c>
      <c r="K30" s="387">
        <f t="shared" si="1"/>
        <v>11.446217843892319</v>
      </c>
    </row>
    <row r="31" spans="1:11" ht="15" customHeight="1" x14ac:dyDescent="0.25">
      <c r="A31" s="388" t="s">
        <v>398</v>
      </c>
      <c r="B31" s="389">
        <v>7.7346033345909046E-2</v>
      </c>
      <c r="C31" s="390">
        <v>0.10862467847004653</v>
      </c>
      <c r="D31" s="390">
        <v>0.20055539166607766</v>
      </c>
      <c r="E31" s="390">
        <v>0.25058023334391782</v>
      </c>
      <c r="F31" s="390">
        <v>0.36289366317405258</v>
      </c>
      <c r="G31" s="392">
        <v>0</v>
      </c>
      <c r="I31" s="365"/>
      <c r="J31" s="387">
        <f t="shared" si="0"/>
        <v>10.697954046118893</v>
      </c>
      <c r="K31" s="387">
        <f t="shared" si="1"/>
        <v>10.862467847004654</v>
      </c>
    </row>
    <row r="32" spans="1:11" ht="15" customHeight="1" x14ac:dyDescent="0.25">
      <c r="A32" s="388" t="s">
        <v>399</v>
      </c>
      <c r="B32" s="389">
        <v>6.0052013845376374E-2</v>
      </c>
      <c r="C32" s="390">
        <v>0.1094496002416431</v>
      </c>
      <c r="D32" s="390">
        <v>0.23242881034639398</v>
      </c>
      <c r="E32" s="390">
        <v>0.24739512292541474</v>
      </c>
      <c r="F32" s="390">
        <v>0.35067445264117558</v>
      </c>
      <c r="G32" s="392">
        <v>0</v>
      </c>
      <c r="I32" s="365"/>
      <c r="J32" s="387">
        <f t="shared" si="0"/>
        <v>10.619737048975548</v>
      </c>
      <c r="K32" s="387">
        <f t="shared" si="1"/>
        <v>10.94496002416431</v>
      </c>
    </row>
    <row r="33" spans="1:11" ht="15" customHeight="1" x14ac:dyDescent="0.25">
      <c r="A33" s="388" t="s">
        <v>400</v>
      </c>
      <c r="B33" s="389">
        <v>5.6991103873527189E-2</v>
      </c>
      <c r="C33" s="390">
        <v>9.0052473552182252E-2</v>
      </c>
      <c r="D33" s="390">
        <v>0.25340326106378219</v>
      </c>
      <c r="E33" s="390">
        <v>0.2539192549309458</v>
      </c>
      <c r="F33" s="390">
        <v>0.34563390657956605</v>
      </c>
      <c r="G33" s="392">
        <v>0</v>
      </c>
      <c r="I33" s="365"/>
      <c r="J33" s="387">
        <f t="shared" si="0"/>
        <v>7.5163821852452877</v>
      </c>
      <c r="K33" s="387">
        <f t="shared" si="1"/>
        <v>9.0052473552182253</v>
      </c>
    </row>
    <row r="34" spans="1:11" ht="15" customHeight="1" x14ac:dyDescent="0.25">
      <c r="A34" s="388" t="s">
        <v>401</v>
      </c>
      <c r="B34" s="389">
        <v>4.767452778833501E-2</v>
      </c>
      <c r="C34" s="390">
        <v>8.4833933650752702E-2</v>
      </c>
      <c r="D34" s="390">
        <v>0.27077090277911164</v>
      </c>
      <c r="E34" s="390">
        <v>0.25362468755201739</v>
      </c>
      <c r="F34" s="390">
        <v>0.34309594822978684</v>
      </c>
      <c r="G34" s="392">
        <v>0</v>
      </c>
      <c r="I34" s="365">
        <v>5</v>
      </c>
      <c r="J34" s="387">
        <f t="shared" si="0"/>
        <v>6.6010919504837009</v>
      </c>
      <c r="K34" s="387">
        <f t="shared" si="1"/>
        <v>8.4833933650752709</v>
      </c>
    </row>
    <row r="35" spans="1:11" ht="15" customHeight="1" x14ac:dyDescent="0.25">
      <c r="A35" s="388" t="s">
        <v>402</v>
      </c>
      <c r="B35" s="389">
        <v>3.7638379489005121E-2</v>
      </c>
      <c r="C35" s="390">
        <v>8.0936282061084719E-2</v>
      </c>
      <c r="D35" s="390">
        <v>0.30144143343835234</v>
      </c>
      <c r="E35" s="390">
        <v>0.22314443460542224</v>
      </c>
      <c r="F35" s="390">
        <v>0.35434948293268304</v>
      </c>
      <c r="G35" s="391">
        <v>2.4899874734559363E-3</v>
      </c>
      <c r="I35" s="365"/>
      <c r="J35" s="387">
        <f t="shared" si="0"/>
        <v>5.495673825663042</v>
      </c>
      <c r="K35" s="387">
        <f t="shared" si="1"/>
        <v>8.0936282061084714</v>
      </c>
    </row>
    <row r="36" spans="1:11" ht="15" customHeight="1" x14ac:dyDescent="0.25">
      <c r="A36" s="388" t="s">
        <v>403</v>
      </c>
      <c r="B36" s="389">
        <v>3.0937302824163435E-2</v>
      </c>
      <c r="C36" s="390">
        <v>6.7049358788672964E-2</v>
      </c>
      <c r="D36" s="390">
        <v>0.32542124846009257</v>
      </c>
      <c r="E36" s="390">
        <v>0.20877479528420356</v>
      </c>
      <c r="F36" s="390">
        <v>0.36532730716941508</v>
      </c>
      <c r="G36" s="391">
        <v>2.4899874734559363E-3</v>
      </c>
      <c r="I36" s="365"/>
      <c r="J36" s="387">
        <f t="shared" si="0"/>
        <v>4.3519098884493035</v>
      </c>
      <c r="K36" s="387">
        <f t="shared" si="1"/>
        <v>6.7049358788672961</v>
      </c>
    </row>
    <row r="37" spans="1:11" ht="15" customHeight="1" x14ac:dyDescent="0.25">
      <c r="A37" s="388" t="s">
        <v>404</v>
      </c>
      <c r="B37" s="389">
        <v>3.618923692956668E-2</v>
      </c>
      <c r="C37" s="390">
        <v>4.6301778744579837E-2</v>
      </c>
      <c r="D37" s="390">
        <v>0.34117247397006412</v>
      </c>
      <c r="E37" s="390">
        <v>0.20189703112279672</v>
      </c>
      <c r="F37" s="390">
        <v>0.36888009849915421</v>
      </c>
      <c r="G37" s="391">
        <v>5.5593807338421043E-3</v>
      </c>
      <c r="I37" s="365"/>
      <c r="J37" s="387">
        <f t="shared" si="0"/>
        <v>2.8465327449364222</v>
      </c>
      <c r="K37" s="387">
        <f t="shared" si="1"/>
        <v>4.630177874457984</v>
      </c>
    </row>
    <row r="38" spans="1:11" ht="15" customHeight="1" x14ac:dyDescent="0.25">
      <c r="A38" s="388" t="s">
        <v>405</v>
      </c>
      <c r="B38" s="389">
        <v>2.9818035993066802E-2</v>
      </c>
      <c r="C38" s="390">
        <v>3.9222847172540966E-2</v>
      </c>
      <c r="D38" s="390">
        <v>0.38272010310930199</v>
      </c>
      <c r="E38" s="390">
        <v>0.19846385166806296</v>
      </c>
      <c r="F38" s="390">
        <v>0.34243117530287909</v>
      </c>
      <c r="G38" s="391">
        <v>7.3439867541517708E-3</v>
      </c>
      <c r="I38" s="365"/>
      <c r="J38" s="387">
        <f t="shared" si="0"/>
        <v>2.8713226808050112</v>
      </c>
      <c r="K38" s="387">
        <f t="shared" si="1"/>
        <v>3.9222847172540964</v>
      </c>
    </row>
    <row r="39" spans="1:11" ht="15" customHeight="1" x14ac:dyDescent="0.25">
      <c r="A39" s="388" t="s">
        <v>406</v>
      </c>
      <c r="B39" s="389">
        <v>1.7656763267465621E-2</v>
      </c>
      <c r="C39" s="390">
        <v>5.2108773642268374E-2</v>
      </c>
      <c r="D39" s="390">
        <v>0.39982210100728877</v>
      </c>
      <c r="E39" s="390">
        <v>0.18258356148403179</v>
      </c>
      <c r="F39" s="390">
        <v>0.34048481384479712</v>
      </c>
      <c r="G39" s="391">
        <v>7.3439867541517708E-3</v>
      </c>
      <c r="I39" s="365"/>
      <c r="J39" s="387">
        <f t="shared" si="0"/>
        <v>2.1401797399690312</v>
      </c>
      <c r="K39" s="387">
        <f t="shared" si="1"/>
        <v>5.2108773642268371</v>
      </c>
    </row>
    <row r="40" spans="1:11" ht="15" customHeight="1" thickBot="1" x14ac:dyDescent="0.3">
      <c r="A40" s="393" t="s">
        <v>407</v>
      </c>
      <c r="B40" s="394">
        <v>1.8743180342609876E-2</v>
      </c>
      <c r="C40" s="395">
        <v>4.6886542433092468E-2</v>
      </c>
      <c r="D40" s="395">
        <v>0.42931948382111701</v>
      </c>
      <c r="E40" s="395">
        <v>0.16791658935248727</v>
      </c>
      <c r="F40" s="395">
        <v>0.33494816443928355</v>
      </c>
      <c r="G40" s="396">
        <v>2.1860396114134805E-3</v>
      </c>
      <c r="I40" s="365">
        <v>6</v>
      </c>
      <c r="J40" s="387">
        <f t="shared" si="0"/>
        <v>2.5547498024383919</v>
      </c>
      <c r="K40" s="387">
        <f t="shared" si="1"/>
        <v>4.6886542433092471</v>
      </c>
    </row>
    <row r="41" spans="1:11" ht="15.75" thickTop="1" x14ac:dyDescent="0.25"/>
    <row r="43" spans="1:11" ht="18" customHeight="1" thickBot="1" x14ac:dyDescent="0.3">
      <c r="A43" s="1430" t="s">
        <v>408</v>
      </c>
      <c r="B43" s="1430"/>
      <c r="C43" s="1430"/>
      <c r="D43" s="1430"/>
      <c r="E43" s="1430"/>
      <c r="F43" s="1430"/>
      <c r="G43" s="1430"/>
    </row>
    <row r="44" spans="1:11" ht="69.95" customHeight="1" thickTop="1" x14ac:dyDescent="0.25">
      <c r="A44" s="1428"/>
      <c r="B44" s="376" t="s">
        <v>367</v>
      </c>
      <c r="C44" s="377" t="s">
        <v>412</v>
      </c>
      <c r="D44" s="377" t="s">
        <v>414</v>
      </c>
      <c r="E44" s="377" t="s">
        <v>368</v>
      </c>
      <c r="F44" s="377" t="s">
        <v>369</v>
      </c>
      <c r="G44" s="378" t="s">
        <v>370</v>
      </c>
    </row>
    <row r="45" spans="1:11" ht="15" customHeight="1" thickBot="1" x14ac:dyDescent="0.3">
      <c r="A45" s="1429"/>
      <c r="B45" s="379" t="s">
        <v>371</v>
      </c>
      <c r="C45" s="380" t="s">
        <v>371</v>
      </c>
      <c r="D45" s="380" t="s">
        <v>371</v>
      </c>
      <c r="E45" s="380" t="s">
        <v>371</v>
      </c>
      <c r="F45" s="380" t="s">
        <v>371</v>
      </c>
      <c r="G45" s="381" t="s">
        <v>371</v>
      </c>
    </row>
    <row r="46" spans="1:11" ht="15" customHeight="1" thickTop="1" x14ac:dyDescent="0.25">
      <c r="A46" s="383" t="s">
        <v>372</v>
      </c>
      <c r="B46" s="384">
        <v>0.33224875672515736</v>
      </c>
      <c r="C46" s="385">
        <v>0.14687028556749596</v>
      </c>
      <c r="D46" s="385">
        <v>0.39072582264717054</v>
      </c>
      <c r="E46" s="385">
        <v>0.12559603860031782</v>
      </c>
      <c r="F46" s="397">
        <v>4.5590964598556643E-3</v>
      </c>
      <c r="G46" s="398">
        <v>0</v>
      </c>
    </row>
    <row r="47" spans="1:11" ht="15" customHeight="1" x14ac:dyDescent="0.25">
      <c r="A47" s="388" t="s">
        <v>373</v>
      </c>
      <c r="B47" s="389">
        <v>0.34568035780935474</v>
      </c>
      <c r="C47" s="390">
        <v>0.2742000957130209</v>
      </c>
      <c r="D47" s="390">
        <v>0.22589376470646447</v>
      </c>
      <c r="E47" s="390">
        <v>0.14966668531130134</v>
      </c>
      <c r="F47" s="399">
        <v>4.5590964598556643E-3</v>
      </c>
      <c r="G47" s="392">
        <v>0</v>
      </c>
    </row>
    <row r="48" spans="1:11" ht="15" customHeight="1" x14ac:dyDescent="0.25">
      <c r="A48" s="388" t="s">
        <v>374</v>
      </c>
      <c r="B48" s="389">
        <v>0.36212359436087022</v>
      </c>
      <c r="C48" s="390">
        <v>0.34956860421699537</v>
      </c>
      <c r="D48" s="390">
        <v>9.8021294351450017E-2</v>
      </c>
      <c r="E48" s="390">
        <v>0.18390296232808886</v>
      </c>
      <c r="F48" s="399">
        <v>6.3835447425925011E-3</v>
      </c>
      <c r="G48" s="392">
        <v>0</v>
      </c>
    </row>
    <row r="49" spans="1:7" ht="15" customHeight="1" x14ac:dyDescent="0.25">
      <c r="A49" s="388" t="s">
        <v>375</v>
      </c>
      <c r="B49" s="389">
        <v>0.35557832142899243</v>
      </c>
      <c r="C49" s="390">
        <v>0.37057749743075669</v>
      </c>
      <c r="D49" s="390">
        <v>4.7658321581615919E-2</v>
      </c>
      <c r="E49" s="390">
        <v>0.20321311771013245</v>
      </c>
      <c r="F49" s="390">
        <v>2.297274184849964E-2</v>
      </c>
      <c r="G49" s="392">
        <v>0</v>
      </c>
    </row>
    <row r="50" spans="1:7" ht="15" customHeight="1" x14ac:dyDescent="0.25">
      <c r="A50" s="388" t="s">
        <v>376</v>
      </c>
      <c r="B50" s="389">
        <v>0.34917556828343765</v>
      </c>
      <c r="C50" s="390">
        <v>0.35765437945162609</v>
      </c>
      <c r="D50" s="390">
        <v>3.8373129390740064E-2</v>
      </c>
      <c r="E50" s="390">
        <v>0.23200549643262988</v>
      </c>
      <c r="F50" s="390">
        <v>2.2791426441563411E-2</v>
      </c>
      <c r="G50" s="392">
        <v>0</v>
      </c>
    </row>
    <row r="51" spans="1:7" ht="15" customHeight="1" x14ac:dyDescent="0.25">
      <c r="A51" s="388" t="s">
        <v>377</v>
      </c>
      <c r="B51" s="389">
        <v>0.32340524082190703</v>
      </c>
      <c r="C51" s="390">
        <v>0.34354115590049766</v>
      </c>
      <c r="D51" s="390">
        <v>4.5542662468983398E-2</v>
      </c>
      <c r="E51" s="390">
        <v>0.25910043335833849</v>
      </c>
      <c r="F51" s="390">
        <v>2.8410507450270406E-2</v>
      </c>
      <c r="G51" s="392">
        <v>0</v>
      </c>
    </row>
    <row r="52" spans="1:7" ht="15" customHeight="1" x14ac:dyDescent="0.25">
      <c r="A52" s="388" t="s">
        <v>378</v>
      </c>
      <c r="B52" s="389">
        <v>0.334523194341452</v>
      </c>
      <c r="C52" s="390">
        <v>0.29217271867150818</v>
      </c>
      <c r="D52" s="390">
        <v>6.5377404087980234E-2</v>
      </c>
      <c r="E52" s="390">
        <v>0.27103074591577564</v>
      </c>
      <c r="F52" s="390">
        <v>3.6895936983280975E-2</v>
      </c>
      <c r="G52" s="392">
        <v>0</v>
      </c>
    </row>
    <row r="53" spans="1:7" ht="15" customHeight="1" x14ac:dyDescent="0.25">
      <c r="A53" s="388" t="s">
        <v>379</v>
      </c>
      <c r="B53" s="389">
        <v>0.33853757809872398</v>
      </c>
      <c r="C53" s="390">
        <v>0.26845172470340506</v>
      </c>
      <c r="D53" s="390">
        <v>6.3189383251999992E-2</v>
      </c>
      <c r="E53" s="390">
        <v>0.29328182780753537</v>
      </c>
      <c r="F53" s="390">
        <v>3.653948613833273E-2</v>
      </c>
      <c r="G53" s="392">
        <v>0</v>
      </c>
    </row>
    <row r="54" spans="1:7" ht="15" customHeight="1" x14ac:dyDescent="0.25">
      <c r="A54" s="388" t="s">
        <v>380</v>
      </c>
      <c r="B54" s="389">
        <v>0.29219705341700158</v>
      </c>
      <c r="C54" s="390">
        <v>0.29144803274588654</v>
      </c>
      <c r="D54" s="390">
        <v>6.4322584039691932E-2</v>
      </c>
      <c r="E54" s="390">
        <v>0.29743393684967057</v>
      </c>
      <c r="F54" s="390">
        <v>5.207862778753828E-2</v>
      </c>
      <c r="G54" s="391">
        <v>2.519765160208283E-3</v>
      </c>
    </row>
    <row r="55" spans="1:7" ht="15" customHeight="1" x14ac:dyDescent="0.25">
      <c r="A55" s="388" t="s">
        <v>381</v>
      </c>
      <c r="B55" s="389">
        <v>0.28161677533331869</v>
      </c>
      <c r="C55" s="390">
        <v>0.27065353662768793</v>
      </c>
      <c r="D55" s="390">
        <v>4.6041744385311306E-2</v>
      </c>
      <c r="E55" s="390">
        <v>0.30326484217503069</v>
      </c>
      <c r="F55" s="390">
        <v>9.5903336318440377E-2</v>
      </c>
      <c r="G55" s="391">
        <v>2.519765160208283E-3</v>
      </c>
    </row>
    <row r="56" spans="1:7" ht="15" customHeight="1" x14ac:dyDescent="0.25">
      <c r="A56" s="388" t="s">
        <v>382</v>
      </c>
      <c r="B56" s="389">
        <v>0.29289911436064359</v>
      </c>
      <c r="C56" s="390">
        <v>0.23529891998756944</v>
      </c>
      <c r="D56" s="390">
        <v>3.9185443329553107E-2</v>
      </c>
      <c r="E56" s="390">
        <v>0.31742221941894511</v>
      </c>
      <c r="F56" s="390">
        <v>0.11519430290328589</v>
      </c>
      <c r="G56" s="392">
        <v>0</v>
      </c>
    </row>
    <row r="57" spans="1:7" ht="15" customHeight="1" x14ac:dyDescent="0.25">
      <c r="A57" s="388" t="s">
        <v>383</v>
      </c>
      <c r="B57" s="389">
        <v>0.32116712098942807</v>
      </c>
      <c r="C57" s="390">
        <v>0.18884395108176974</v>
      </c>
      <c r="D57" s="390">
        <v>4.2690224788067901E-2</v>
      </c>
      <c r="E57" s="390">
        <v>0.30655904290607638</v>
      </c>
      <c r="F57" s="390">
        <v>0.13368967789784819</v>
      </c>
      <c r="G57" s="391">
        <v>7.0499823368068279E-3</v>
      </c>
    </row>
    <row r="58" spans="1:7" ht="15" customHeight="1" x14ac:dyDescent="0.25">
      <c r="A58" s="388" t="s">
        <v>384</v>
      </c>
      <c r="B58" s="389">
        <v>0.31360360561982786</v>
      </c>
      <c r="C58" s="390">
        <v>0.1402737865151647</v>
      </c>
      <c r="D58" s="390">
        <v>4.2127375977619036E-2</v>
      </c>
      <c r="E58" s="390">
        <v>0.33916200930218321</v>
      </c>
      <c r="F58" s="390">
        <v>0.15778324024839538</v>
      </c>
      <c r="G58" s="391">
        <v>7.0499823368068279E-3</v>
      </c>
    </row>
    <row r="59" spans="1:7" ht="15" customHeight="1" x14ac:dyDescent="0.25">
      <c r="A59" s="388" t="s">
        <v>385</v>
      </c>
      <c r="B59" s="389">
        <v>0.30223784176830765</v>
      </c>
      <c r="C59" s="390">
        <v>0.11920317724732017</v>
      </c>
      <c r="D59" s="390">
        <v>6.3050527966970499E-2</v>
      </c>
      <c r="E59" s="390">
        <v>0.34602060017597547</v>
      </c>
      <c r="F59" s="390">
        <v>0.16699272610068192</v>
      </c>
      <c r="G59" s="391">
        <v>2.4951267407414242E-3</v>
      </c>
    </row>
    <row r="60" spans="1:7" ht="15" customHeight="1" x14ac:dyDescent="0.25">
      <c r="A60" s="388" t="s">
        <v>386</v>
      </c>
      <c r="B60" s="389">
        <v>0.30368821035262961</v>
      </c>
      <c r="C60" s="390">
        <v>8.5644726288436293E-2</v>
      </c>
      <c r="D60" s="390">
        <v>6.8043156395420148E-2</v>
      </c>
      <c r="E60" s="390">
        <v>0.36957157676700381</v>
      </c>
      <c r="F60" s="390">
        <v>0.16425143366919959</v>
      </c>
      <c r="G60" s="391">
        <v>8.8008965273078422E-3</v>
      </c>
    </row>
    <row r="61" spans="1:7" ht="15" customHeight="1" x14ac:dyDescent="0.25">
      <c r="A61" s="388" t="s">
        <v>387</v>
      </c>
      <c r="B61" s="389">
        <v>0.33774587854779653</v>
      </c>
      <c r="C61" s="390">
        <v>8.8057998968694054E-2</v>
      </c>
      <c r="D61" s="390">
        <v>5.9168762955192508E-2</v>
      </c>
      <c r="E61" s="390">
        <v>0.33209950271490568</v>
      </c>
      <c r="F61" s="390">
        <v>0.17412696028610047</v>
      </c>
      <c r="G61" s="391">
        <v>8.8008965273078422E-3</v>
      </c>
    </row>
    <row r="62" spans="1:7" ht="15" customHeight="1" x14ac:dyDescent="0.25">
      <c r="A62" s="388" t="s">
        <v>388</v>
      </c>
      <c r="B62" s="389">
        <v>0.34036225191772812</v>
      </c>
      <c r="C62" s="390">
        <v>7.3938494092795862E-2</v>
      </c>
      <c r="D62" s="390">
        <v>6.9594759384068033E-2</v>
      </c>
      <c r="E62" s="390">
        <v>0.32933836253826099</v>
      </c>
      <c r="F62" s="390">
        <v>0.18046036228057755</v>
      </c>
      <c r="G62" s="391">
        <v>6.3057697865664172E-3</v>
      </c>
    </row>
    <row r="63" spans="1:7" ht="15" customHeight="1" x14ac:dyDescent="0.25">
      <c r="A63" s="388" t="s">
        <v>389</v>
      </c>
      <c r="B63" s="389">
        <v>0.3506483187647792</v>
      </c>
      <c r="C63" s="390">
        <v>7.3716602460485003E-2</v>
      </c>
      <c r="D63" s="390">
        <v>5.8274531724936678E-2</v>
      </c>
      <c r="E63" s="390">
        <v>0.33543721675986732</v>
      </c>
      <c r="F63" s="390">
        <v>0.18192333028992902</v>
      </c>
      <c r="G63" s="392">
        <v>0</v>
      </c>
    </row>
    <row r="64" spans="1:7" ht="15" customHeight="1" x14ac:dyDescent="0.25">
      <c r="A64" s="388" t="s">
        <v>390</v>
      </c>
      <c r="B64" s="389">
        <v>0.32092441603501887</v>
      </c>
      <c r="C64" s="390">
        <v>8.3063260701964736E-2</v>
      </c>
      <c r="D64" s="390">
        <v>8.4460170580228977E-2</v>
      </c>
      <c r="E64" s="390">
        <v>0.29601995261024189</v>
      </c>
      <c r="F64" s="390">
        <v>0.21553220007254256</v>
      </c>
      <c r="G64" s="392">
        <v>0</v>
      </c>
    </row>
    <row r="65" spans="1:7" ht="15" customHeight="1" x14ac:dyDescent="0.25">
      <c r="A65" s="388" t="s">
        <v>391</v>
      </c>
      <c r="B65" s="389">
        <v>0.30135424787239395</v>
      </c>
      <c r="C65" s="390">
        <v>8.4374159287016498E-2</v>
      </c>
      <c r="D65" s="390">
        <v>9.535469697767894E-2</v>
      </c>
      <c r="E65" s="390">
        <v>0.29069026579443469</v>
      </c>
      <c r="F65" s="390">
        <v>0.22822663006847305</v>
      </c>
      <c r="G65" s="392">
        <v>0</v>
      </c>
    </row>
    <row r="66" spans="1:7" ht="15" customHeight="1" x14ac:dyDescent="0.25">
      <c r="A66" s="388" t="s">
        <v>392</v>
      </c>
      <c r="B66" s="389">
        <v>0.27971143102221913</v>
      </c>
      <c r="C66" s="390">
        <v>7.110044629608997E-2</v>
      </c>
      <c r="D66" s="390">
        <v>0.10886726120445556</v>
      </c>
      <c r="E66" s="390">
        <v>0.27726102139535536</v>
      </c>
      <c r="F66" s="390">
        <v>0.26305984008187722</v>
      </c>
      <c r="G66" s="392">
        <v>0</v>
      </c>
    </row>
    <row r="67" spans="1:7" ht="15" customHeight="1" x14ac:dyDescent="0.25">
      <c r="A67" s="388" t="s">
        <v>393</v>
      </c>
      <c r="B67" s="389">
        <v>0.29695396397110257</v>
      </c>
      <c r="C67" s="390">
        <v>6.8092339217690076E-2</v>
      </c>
      <c r="D67" s="390">
        <v>9.2830988769075709E-2</v>
      </c>
      <c r="E67" s="390">
        <v>0.27891518764869461</v>
      </c>
      <c r="F67" s="390">
        <v>0.26320752039343426</v>
      </c>
      <c r="G67" s="392">
        <v>0</v>
      </c>
    </row>
    <row r="68" spans="1:7" ht="15" customHeight="1" x14ac:dyDescent="0.25">
      <c r="A68" s="388" t="s">
        <v>394</v>
      </c>
      <c r="B68" s="389">
        <v>0.27495087557180414</v>
      </c>
      <c r="C68" s="390">
        <v>7.6541503174477291E-2</v>
      </c>
      <c r="D68" s="390">
        <v>0.11686286012435186</v>
      </c>
      <c r="E68" s="390">
        <v>0.26611724516968582</v>
      </c>
      <c r="F68" s="390">
        <v>0.26552751595967827</v>
      </c>
      <c r="G68" s="392">
        <v>0</v>
      </c>
    </row>
    <row r="69" spans="1:7" ht="15" customHeight="1" x14ac:dyDescent="0.25">
      <c r="A69" s="388" t="s">
        <v>395</v>
      </c>
      <c r="B69" s="389">
        <v>0.24436896703649669</v>
      </c>
      <c r="C69" s="390">
        <v>0.10449939495239276</v>
      </c>
      <c r="D69" s="390">
        <v>0.10839535563468068</v>
      </c>
      <c r="E69" s="390">
        <v>0.24609340182567563</v>
      </c>
      <c r="F69" s="390">
        <v>0.29664288055075161</v>
      </c>
      <c r="G69" s="392">
        <v>0</v>
      </c>
    </row>
    <row r="70" spans="1:7" ht="15" customHeight="1" x14ac:dyDescent="0.25">
      <c r="A70" s="388" t="s">
        <v>396</v>
      </c>
      <c r="B70" s="389">
        <v>0.2486402282429333</v>
      </c>
      <c r="C70" s="390">
        <v>9.9465129322496904E-2</v>
      </c>
      <c r="D70" s="390">
        <v>0.12120901573780954</v>
      </c>
      <c r="E70" s="390">
        <v>0.21121824619673363</v>
      </c>
      <c r="F70" s="390">
        <v>0.31831280573433651</v>
      </c>
      <c r="G70" s="391">
        <v>1.1545747656876483E-3</v>
      </c>
    </row>
    <row r="71" spans="1:7" ht="15" customHeight="1" x14ac:dyDescent="0.25">
      <c r="A71" s="388" t="s">
        <v>397</v>
      </c>
      <c r="B71" s="389">
        <v>0.22774830385414593</v>
      </c>
      <c r="C71" s="390">
        <v>0.11247246903815722</v>
      </c>
      <c r="D71" s="390">
        <v>0.13332725965747963</v>
      </c>
      <c r="E71" s="390">
        <v>0.21698921832354251</v>
      </c>
      <c r="F71" s="390">
        <v>0.30830817436098451</v>
      </c>
      <c r="G71" s="391">
        <v>1.1545747656876483E-3</v>
      </c>
    </row>
    <row r="72" spans="1:7" ht="15" customHeight="1" x14ac:dyDescent="0.25">
      <c r="A72" s="388" t="s">
        <v>398</v>
      </c>
      <c r="B72" s="389">
        <v>0.24133878736505662</v>
      </c>
      <c r="C72" s="390">
        <v>0.10697954046118893</v>
      </c>
      <c r="D72" s="390">
        <v>0.14892715818969851</v>
      </c>
      <c r="E72" s="390">
        <v>0.18920948400119528</v>
      </c>
      <c r="F72" s="390">
        <v>0.31239045521717057</v>
      </c>
      <c r="G72" s="391">
        <v>1.1545747656876483E-3</v>
      </c>
    </row>
    <row r="73" spans="1:7" ht="15" customHeight="1" x14ac:dyDescent="0.25">
      <c r="A73" s="388" t="s">
        <v>399</v>
      </c>
      <c r="B73" s="389">
        <v>0.19263738449617587</v>
      </c>
      <c r="C73" s="390">
        <v>0.10619737048975547</v>
      </c>
      <c r="D73" s="390">
        <v>0.16880038528077881</v>
      </c>
      <c r="E73" s="390">
        <v>0.19283965805756759</v>
      </c>
      <c r="F73" s="390">
        <v>0.33837062691003195</v>
      </c>
      <c r="G73" s="391">
        <v>1.1545747656876483E-3</v>
      </c>
    </row>
    <row r="74" spans="1:7" ht="15" customHeight="1" x14ac:dyDescent="0.25">
      <c r="A74" s="388" t="s">
        <v>400</v>
      </c>
      <c r="B74" s="389">
        <v>0.17831165999939969</v>
      </c>
      <c r="C74" s="390">
        <v>7.5163821852452878E-2</v>
      </c>
      <c r="D74" s="390">
        <v>0.18948457395221319</v>
      </c>
      <c r="E74" s="390">
        <v>0.20007919460083612</v>
      </c>
      <c r="F74" s="390">
        <v>0.3558061748294078</v>
      </c>
      <c r="G74" s="391">
        <v>1.1545747656876483E-3</v>
      </c>
    </row>
    <row r="75" spans="1:7" ht="15" customHeight="1" x14ac:dyDescent="0.25">
      <c r="A75" s="388" t="s">
        <v>401</v>
      </c>
      <c r="B75" s="389">
        <v>0.1723039195865293</v>
      </c>
      <c r="C75" s="390">
        <v>6.6010919504837007E-2</v>
      </c>
      <c r="D75" s="390">
        <v>0.20639265176791041</v>
      </c>
      <c r="E75" s="390">
        <v>0.18380172340730025</v>
      </c>
      <c r="F75" s="390">
        <v>0.37033621096773289</v>
      </c>
      <c r="G75" s="391">
        <v>1.1545747656876483E-3</v>
      </c>
    </row>
    <row r="76" spans="1:7" ht="15" customHeight="1" x14ac:dyDescent="0.25">
      <c r="A76" s="388" t="s">
        <v>402</v>
      </c>
      <c r="B76" s="389">
        <v>0.13461758505458329</v>
      </c>
      <c r="C76" s="390">
        <v>5.4956738256630416E-2</v>
      </c>
      <c r="D76" s="390">
        <v>0.23362794742174253</v>
      </c>
      <c r="E76" s="390">
        <v>0.18550639197855034</v>
      </c>
      <c r="F76" s="390">
        <v>0.39129133728849086</v>
      </c>
      <c r="G76" s="392">
        <v>0</v>
      </c>
    </row>
    <row r="77" spans="1:7" ht="15" customHeight="1" x14ac:dyDescent="0.25">
      <c r="A77" s="388" t="s">
        <v>403</v>
      </c>
      <c r="B77" s="389">
        <v>0.13041123843969768</v>
      </c>
      <c r="C77" s="390">
        <v>4.3519098884493033E-2</v>
      </c>
      <c r="D77" s="390">
        <v>0.223692608645082</v>
      </c>
      <c r="E77" s="390">
        <v>0.19965536694807398</v>
      </c>
      <c r="F77" s="390">
        <v>0.40272168708265083</v>
      </c>
      <c r="G77" s="392">
        <v>0</v>
      </c>
    </row>
    <row r="78" spans="1:7" ht="15" customHeight="1" x14ac:dyDescent="0.25">
      <c r="A78" s="388" t="s">
        <v>404</v>
      </c>
      <c r="B78" s="389">
        <v>0.1270835017190356</v>
      </c>
      <c r="C78" s="390">
        <v>2.8465327449364222E-2</v>
      </c>
      <c r="D78" s="390">
        <v>0.24059418485408396</v>
      </c>
      <c r="E78" s="390">
        <v>0.1963070939522801</v>
      </c>
      <c r="F78" s="390">
        <v>0.40754989202523345</v>
      </c>
      <c r="G78" s="392">
        <v>0</v>
      </c>
    </row>
    <row r="79" spans="1:7" ht="15" customHeight="1" x14ac:dyDescent="0.25">
      <c r="A79" s="388" t="s">
        <v>405</v>
      </c>
      <c r="B79" s="389">
        <v>0.11293536516839119</v>
      </c>
      <c r="C79" s="390">
        <v>2.8713226808050111E-2</v>
      </c>
      <c r="D79" s="390">
        <v>0.28071845717693811</v>
      </c>
      <c r="E79" s="390">
        <v>0.18859418394556454</v>
      </c>
      <c r="F79" s="390">
        <v>0.38544070746899706</v>
      </c>
      <c r="G79" s="391">
        <v>3.5980594320566437E-3</v>
      </c>
    </row>
    <row r="80" spans="1:7" ht="15" customHeight="1" x14ac:dyDescent="0.25">
      <c r="A80" s="388" t="s">
        <v>406</v>
      </c>
      <c r="B80" s="389">
        <v>9.4923416601201321E-2</v>
      </c>
      <c r="C80" s="390">
        <v>2.1401797399690312E-2</v>
      </c>
      <c r="D80" s="390">
        <v>0.3016904668511402</v>
      </c>
      <c r="E80" s="390">
        <v>0.18013286441282295</v>
      </c>
      <c r="F80" s="390">
        <v>0.39825339530308612</v>
      </c>
      <c r="G80" s="391">
        <v>3.5980594320566437E-3</v>
      </c>
    </row>
    <row r="81" spans="1:7" ht="15" customHeight="1" thickBot="1" x14ac:dyDescent="0.3">
      <c r="A81" s="393" t="s">
        <v>407</v>
      </c>
      <c r="B81" s="394">
        <v>6.2996933978770542E-2</v>
      </c>
      <c r="C81" s="395">
        <v>2.554749802438392E-2</v>
      </c>
      <c r="D81" s="395">
        <v>0.34579839804888268</v>
      </c>
      <c r="E81" s="395">
        <v>0.16880496460845473</v>
      </c>
      <c r="F81" s="395">
        <v>0.39325414590744884</v>
      </c>
      <c r="G81" s="396">
        <v>3.5980594320566437E-3</v>
      </c>
    </row>
  </sheetData>
  <mergeCells count="5">
    <mergeCell ref="A2:G2"/>
    <mergeCell ref="A3:A4"/>
    <mergeCell ref="M4:X5"/>
    <mergeCell ref="A43:G43"/>
    <mergeCell ref="A44:A45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82"/>
  <sheetViews>
    <sheetView topLeftCell="L1" workbookViewId="0">
      <selection activeCell="M3" sqref="M3"/>
    </sheetView>
  </sheetViews>
  <sheetFormatPr defaultRowHeight="15" x14ac:dyDescent="0.25"/>
  <cols>
    <col min="1" max="1" width="6.85546875" style="339" customWidth="1"/>
    <col min="2" max="2" width="13.28515625" style="339" customWidth="1"/>
    <col min="3" max="3" width="10.7109375" style="339" customWidth="1"/>
    <col min="4" max="4" width="11.7109375" style="339" customWidth="1"/>
    <col min="5" max="5" width="11" style="339" customWidth="1"/>
    <col min="6" max="6" width="9" style="339" customWidth="1"/>
    <col min="7" max="7" width="10.7109375" style="339" customWidth="1"/>
    <col min="8" max="9" width="9.140625" style="339"/>
    <col min="10" max="10" width="12.7109375" style="339" customWidth="1"/>
    <col min="11" max="11" width="11.85546875" style="339" customWidth="1"/>
    <col min="12" max="23" width="9.140625" style="339"/>
    <col min="24" max="24" width="11.140625" style="339" customWidth="1"/>
    <col min="25" max="16384" width="9.140625" style="339"/>
  </cols>
  <sheetData>
    <row r="2" spans="1:24" ht="18" customHeight="1" thickBot="1" x14ac:dyDescent="0.3">
      <c r="A2" s="1427" t="s">
        <v>366</v>
      </c>
      <c r="B2" s="1427"/>
      <c r="C2" s="1427"/>
      <c r="D2" s="1427"/>
      <c r="E2" s="1427"/>
      <c r="F2" s="1427"/>
      <c r="G2" s="1427"/>
    </row>
    <row r="3" spans="1:24" ht="69.95" customHeight="1" thickTop="1" x14ac:dyDescent="0.25">
      <c r="A3" s="1428"/>
      <c r="B3" s="376" t="s">
        <v>367</v>
      </c>
      <c r="C3" s="377" t="s">
        <v>412</v>
      </c>
      <c r="D3" s="377" t="s">
        <v>413</v>
      </c>
      <c r="E3" s="377" t="s">
        <v>368</v>
      </c>
      <c r="F3" s="377" t="s">
        <v>369</v>
      </c>
      <c r="G3" s="378" t="s">
        <v>370</v>
      </c>
    </row>
    <row r="4" spans="1:24" ht="15" customHeight="1" thickBot="1" x14ac:dyDescent="0.3">
      <c r="A4" s="1429"/>
      <c r="B4" s="379" t="s">
        <v>371</v>
      </c>
      <c r="C4" s="380" t="s">
        <v>371</v>
      </c>
      <c r="D4" s="380" t="s">
        <v>371</v>
      </c>
      <c r="E4" s="380" t="s">
        <v>371</v>
      </c>
      <c r="F4" s="380" t="s">
        <v>371</v>
      </c>
      <c r="G4" s="381" t="s">
        <v>371</v>
      </c>
      <c r="I4" s="365"/>
      <c r="J4" s="382" t="s">
        <v>11</v>
      </c>
      <c r="K4" s="382" t="s">
        <v>12</v>
      </c>
      <c r="M4" s="1431" t="s">
        <v>482</v>
      </c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</row>
    <row r="5" spans="1:24" ht="17.25" customHeight="1" thickTop="1" x14ac:dyDescent="0.25">
      <c r="A5" s="383" t="s">
        <v>372</v>
      </c>
      <c r="B5" s="384">
        <v>0.20697093576563166</v>
      </c>
      <c r="C5" s="385">
        <v>0.18617003394687073</v>
      </c>
      <c r="D5" s="385">
        <v>0.41323811300230884</v>
      </c>
      <c r="E5" s="385">
        <v>0.16860084247598578</v>
      </c>
      <c r="F5" s="385">
        <v>2.1789134535116064E-2</v>
      </c>
      <c r="G5" s="386">
        <v>3.2309402740907027E-3</v>
      </c>
      <c r="I5" s="365"/>
      <c r="J5" s="387">
        <f>D46*100</f>
        <v>39.072582264717056</v>
      </c>
      <c r="K5" s="387">
        <f>D5*100</f>
        <v>41.323811300230886</v>
      </c>
      <c r="M5" s="1431"/>
      <c r="N5" s="1431"/>
      <c r="O5" s="1431"/>
      <c r="P5" s="1431"/>
      <c r="Q5" s="1431"/>
      <c r="R5" s="1431"/>
      <c r="S5" s="1431"/>
      <c r="T5" s="1431"/>
      <c r="U5" s="1431"/>
      <c r="V5" s="1431"/>
      <c r="W5" s="1431"/>
      <c r="X5" s="1431"/>
    </row>
    <row r="6" spans="1:24" ht="15" customHeight="1" x14ac:dyDescent="0.25">
      <c r="A6" s="388" t="s">
        <v>373</v>
      </c>
      <c r="B6" s="389">
        <v>0.21245320834594569</v>
      </c>
      <c r="C6" s="390">
        <v>0.29028067416471881</v>
      </c>
      <c r="D6" s="390">
        <v>0.2698908037332437</v>
      </c>
      <c r="E6" s="390">
        <v>0.19861855358396499</v>
      </c>
      <c r="F6" s="390">
        <v>2.5525819898039915E-2</v>
      </c>
      <c r="G6" s="391">
        <v>3.2309402740907027E-3</v>
      </c>
      <c r="I6" s="365"/>
      <c r="J6" s="387">
        <f t="shared" ref="J6:J40" si="0">D47*100</f>
        <v>22.589376470646446</v>
      </c>
      <c r="K6" s="387">
        <f t="shared" ref="K6:K40" si="1">D6*100</f>
        <v>26.98908037332437</v>
      </c>
    </row>
    <row r="7" spans="1:24" ht="15" customHeight="1" x14ac:dyDescent="0.25">
      <c r="A7" s="388" t="s">
        <v>374</v>
      </c>
      <c r="B7" s="389">
        <v>0.17693885561980402</v>
      </c>
      <c r="C7" s="390">
        <v>0.4011562605544019</v>
      </c>
      <c r="D7" s="390">
        <v>0.16464264922815025</v>
      </c>
      <c r="E7" s="390">
        <v>0.22923830658568797</v>
      </c>
      <c r="F7" s="390">
        <v>2.8023928011959708E-2</v>
      </c>
      <c r="G7" s="392">
        <v>0</v>
      </c>
      <c r="I7" s="365"/>
      <c r="J7" s="387">
        <f t="shared" si="0"/>
        <v>9.8021294351450017</v>
      </c>
      <c r="K7" s="387">
        <f t="shared" si="1"/>
        <v>16.464264922815026</v>
      </c>
    </row>
    <row r="8" spans="1:24" ht="15" customHeight="1" x14ac:dyDescent="0.25">
      <c r="A8" s="388" t="s">
        <v>375</v>
      </c>
      <c r="B8" s="389">
        <v>0.15346043702323034</v>
      </c>
      <c r="C8" s="390">
        <v>0.44072426743327214</v>
      </c>
      <c r="D8" s="390">
        <v>9.2008759851099936E-2</v>
      </c>
      <c r="E8" s="390">
        <v>0.27147086531332904</v>
      </c>
      <c r="F8" s="390">
        <v>4.1418550703090216E-2</v>
      </c>
      <c r="G8" s="391">
        <v>9.1711967598198467E-4</v>
      </c>
      <c r="I8" s="365"/>
      <c r="J8" s="387">
        <f t="shared" si="0"/>
        <v>4.7658321581615919</v>
      </c>
      <c r="K8" s="387">
        <f t="shared" si="1"/>
        <v>9.2008759851099935</v>
      </c>
    </row>
    <row r="9" spans="1:24" ht="15" customHeight="1" x14ac:dyDescent="0.25">
      <c r="A9" s="388" t="s">
        <v>376</v>
      </c>
      <c r="B9" s="389">
        <v>0.1382452133206446</v>
      </c>
      <c r="C9" s="390">
        <v>0.40327926029534877</v>
      </c>
      <c r="D9" s="390">
        <v>7.3184728517348835E-2</v>
      </c>
      <c r="E9" s="390">
        <v>0.31916416319970825</v>
      </c>
      <c r="F9" s="390">
        <v>6.0419782430065565E-2</v>
      </c>
      <c r="G9" s="391">
        <v>5.7068522368876502E-3</v>
      </c>
      <c r="I9" s="365"/>
      <c r="J9" s="387">
        <f t="shared" si="0"/>
        <v>3.8373129390740064</v>
      </c>
      <c r="K9" s="387">
        <f t="shared" si="1"/>
        <v>7.3184728517348834</v>
      </c>
    </row>
    <row r="10" spans="1:24" ht="15" customHeight="1" x14ac:dyDescent="0.25">
      <c r="A10" s="388" t="s">
        <v>377</v>
      </c>
      <c r="B10" s="389">
        <v>0.1358869387428614</v>
      </c>
      <c r="C10" s="390">
        <v>0.35813356510422628</v>
      </c>
      <c r="D10" s="390">
        <v>8.1709639402374079E-2</v>
      </c>
      <c r="E10" s="390">
        <v>0.35119604033282653</v>
      </c>
      <c r="F10" s="390">
        <v>7.2156696741733237E-2</v>
      </c>
      <c r="G10" s="391">
        <v>9.1711967598198467E-4</v>
      </c>
      <c r="I10" s="365">
        <v>1</v>
      </c>
      <c r="J10" s="387">
        <f t="shared" si="0"/>
        <v>4.5542662468983401</v>
      </c>
      <c r="K10" s="387">
        <f t="shared" si="1"/>
        <v>8.1709639402374084</v>
      </c>
    </row>
    <row r="11" spans="1:24" ht="15" customHeight="1" x14ac:dyDescent="0.25">
      <c r="A11" s="388" t="s">
        <v>378</v>
      </c>
      <c r="B11" s="389">
        <v>0.1487066443076823</v>
      </c>
      <c r="C11" s="390">
        <v>0.2786343292786162</v>
      </c>
      <c r="D11" s="390">
        <v>4.8614889238659885E-2</v>
      </c>
      <c r="E11" s="390">
        <v>0.42205475716122876</v>
      </c>
      <c r="F11" s="390">
        <v>0.10198938001381648</v>
      </c>
      <c r="G11" s="392">
        <v>0</v>
      </c>
      <c r="I11" s="365"/>
      <c r="J11" s="387">
        <f t="shared" si="0"/>
        <v>6.5377404087980233</v>
      </c>
      <c r="K11" s="387">
        <f t="shared" si="1"/>
        <v>4.8614889238659886</v>
      </c>
    </row>
    <row r="12" spans="1:24" ht="15" customHeight="1" x14ac:dyDescent="0.25">
      <c r="A12" s="388" t="s">
        <v>379</v>
      </c>
      <c r="B12" s="389">
        <v>0.15764047869470016</v>
      </c>
      <c r="C12" s="390">
        <v>0.21206987420002382</v>
      </c>
      <c r="D12" s="390">
        <v>7.1614318545048294E-2</v>
      </c>
      <c r="E12" s="390">
        <v>0.43886209392793257</v>
      </c>
      <c r="F12" s="390">
        <v>0.11981323463229905</v>
      </c>
      <c r="G12" s="392">
        <v>0</v>
      </c>
      <c r="I12" s="365"/>
      <c r="J12" s="387">
        <f t="shared" si="0"/>
        <v>6.3189383251999995</v>
      </c>
      <c r="K12" s="387">
        <f t="shared" si="1"/>
        <v>7.1614318545048299</v>
      </c>
    </row>
    <row r="13" spans="1:24" ht="15" customHeight="1" x14ac:dyDescent="0.25">
      <c r="A13" s="388" t="s">
        <v>380</v>
      </c>
      <c r="B13" s="389">
        <v>0.13768400551601215</v>
      </c>
      <c r="C13" s="390">
        <v>0.17928866089662443</v>
      </c>
      <c r="D13" s="390">
        <v>8.1885974382477772E-2</v>
      </c>
      <c r="E13" s="390">
        <v>0.46320271918881545</v>
      </c>
      <c r="F13" s="390">
        <v>0.137938640016074</v>
      </c>
      <c r="G13" s="392">
        <v>0</v>
      </c>
      <c r="I13" s="365"/>
      <c r="J13" s="387">
        <f t="shared" si="0"/>
        <v>6.4322584039691932</v>
      </c>
      <c r="K13" s="387">
        <f t="shared" si="1"/>
        <v>8.1885974382477773</v>
      </c>
    </row>
    <row r="14" spans="1:24" ht="15" customHeight="1" x14ac:dyDescent="0.25">
      <c r="A14" s="388" t="s">
        <v>381</v>
      </c>
      <c r="B14" s="389">
        <v>0.15813975440560862</v>
      </c>
      <c r="C14" s="390">
        <v>0.14127648290126768</v>
      </c>
      <c r="D14" s="390">
        <v>7.1789892689549342E-2</v>
      </c>
      <c r="E14" s="390">
        <v>0.46390998907471703</v>
      </c>
      <c r="F14" s="390">
        <v>0.15938405485263143</v>
      </c>
      <c r="G14" s="391">
        <v>5.4998260762296799E-3</v>
      </c>
      <c r="I14" s="365"/>
      <c r="J14" s="387">
        <f t="shared" si="0"/>
        <v>4.604174438531131</v>
      </c>
      <c r="K14" s="387">
        <f t="shared" si="1"/>
        <v>7.1789892689549344</v>
      </c>
    </row>
    <row r="15" spans="1:24" ht="15" customHeight="1" x14ac:dyDescent="0.25">
      <c r="A15" s="388" t="s">
        <v>382</v>
      </c>
      <c r="B15" s="389">
        <v>0.14975137721980478</v>
      </c>
      <c r="C15" s="390">
        <v>0.15199058140625671</v>
      </c>
      <c r="D15" s="390">
        <v>7.1423988230101876E-2</v>
      </c>
      <c r="E15" s="390">
        <v>0.45046959545334431</v>
      </c>
      <c r="F15" s="390">
        <v>0.17086463161426649</v>
      </c>
      <c r="G15" s="391">
        <v>5.4998260762296799E-3</v>
      </c>
      <c r="I15" s="365"/>
      <c r="J15" s="387">
        <f t="shared" si="0"/>
        <v>3.9185443329553107</v>
      </c>
      <c r="K15" s="387">
        <f t="shared" si="1"/>
        <v>7.142398823010188</v>
      </c>
    </row>
    <row r="16" spans="1:24" ht="15" customHeight="1" x14ac:dyDescent="0.25">
      <c r="A16" s="388" t="s">
        <v>383</v>
      </c>
      <c r="B16" s="389">
        <v>0.17111232942105142</v>
      </c>
      <c r="C16" s="390">
        <v>0.12954720197906255</v>
      </c>
      <c r="D16" s="390">
        <v>7.610183776547072E-2</v>
      </c>
      <c r="E16" s="390">
        <v>0.43960903251276867</v>
      </c>
      <c r="F16" s="390">
        <v>0.17812977224542073</v>
      </c>
      <c r="G16" s="391">
        <v>5.4998260762296799E-3</v>
      </c>
      <c r="I16" s="365">
        <v>2</v>
      </c>
      <c r="J16" s="387">
        <f t="shared" si="0"/>
        <v>4.2690224788067903</v>
      </c>
      <c r="K16" s="387">
        <f t="shared" si="1"/>
        <v>7.6101837765470721</v>
      </c>
    </row>
    <row r="17" spans="1:11" ht="15" customHeight="1" x14ac:dyDescent="0.25">
      <c r="A17" s="388" t="s">
        <v>384</v>
      </c>
      <c r="B17" s="389">
        <v>0.18083906355355911</v>
      </c>
      <c r="C17" s="390">
        <v>0.1253235577678278</v>
      </c>
      <c r="D17" s="390">
        <v>7.5796599653554217E-2</v>
      </c>
      <c r="E17" s="390">
        <v>0.40161778416518584</v>
      </c>
      <c r="F17" s="390">
        <v>0.20965236802322565</v>
      </c>
      <c r="G17" s="391">
        <v>6.7706268366510055E-3</v>
      </c>
      <c r="I17" s="365"/>
      <c r="J17" s="387">
        <f t="shared" si="0"/>
        <v>4.2127375977619037</v>
      </c>
      <c r="K17" s="387">
        <f t="shared" si="1"/>
        <v>7.5796599653554217</v>
      </c>
    </row>
    <row r="18" spans="1:11" ht="15" customHeight="1" x14ac:dyDescent="0.25">
      <c r="A18" s="388" t="s">
        <v>385</v>
      </c>
      <c r="B18" s="389">
        <v>0.17918304264490081</v>
      </c>
      <c r="C18" s="390">
        <v>0.12181619150378051</v>
      </c>
      <c r="D18" s="390">
        <v>6.9246212471114593E-2</v>
      </c>
      <c r="E18" s="390">
        <v>0.39862886380317603</v>
      </c>
      <c r="F18" s="390">
        <v>0.2219976209041766</v>
      </c>
      <c r="G18" s="391">
        <v>9.1280686728551115E-3</v>
      </c>
      <c r="I18" s="365"/>
      <c r="J18" s="387">
        <f t="shared" si="0"/>
        <v>6.3050527966970495</v>
      </c>
      <c r="K18" s="387">
        <f t="shared" si="1"/>
        <v>6.9246212471114594</v>
      </c>
    </row>
    <row r="19" spans="1:11" ht="15" customHeight="1" x14ac:dyDescent="0.25">
      <c r="A19" s="388" t="s">
        <v>386</v>
      </c>
      <c r="B19" s="389">
        <v>0.17851159577899833</v>
      </c>
      <c r="C19" s="390">
        <v>0.12727961047872505</v>
      </c>
      <c r="D19" s="390">
        <v>6.763390256911618E-2</v>
      </c>
      <c r="E19" s="390">
        <v>0.38970188302706338</v>
      </c>
      <c r="F19" s="390">
        <v>0.22983659198278719</v>
      </c>
      <c r="G19" s="391">
        <v>7.0364161633136605E-3</v>
      </c>
      <c r="I19" s="365"/>
      <c r="J19" s="387">
        <f t="shared" si="0"/>
        <v>6.8043156395420148</v>
      </c>
      <c r="K19" s="387">
        <f t="shared" si="1"/>
        <v>6.7633902569116184</v>
      </c>
    </row>
    <row r="20" spans="1:11" ht="15" customHeight="1" x14ac:dyDescent="0.25">
      <c r="A20" s="388" t="s">
        <v>387</v>
      </c>
      <c r="B20" s="389">
        <v>0.181351567540878</v>
      </c>
      <c r="C20" s="390">
        <v>0.13537207465154455</v>
      </c>
      <c r="D20" s="390">
        <v>5.3607064915925449E-2</v>
      </c>
      <c r="E20" s="390">
        <v>0.38533031075853413</v>
      </c>
      <c r="F20" s="390">
        <v>0.24306818137270036</v>
      </c>
      <c r="G20" s="391">
        <v>1.2708007604213247E-3</v>
      </c>
      <c r="I20" s="365"/>
      <c r="J20" s="387">
        <f t="shared" si="0"/>
        <v>5.9168762955192511</v>
      </c>
      <c r="K20" s="387">
        <f t="shared" si="1"/>
        <v>5.3607064915925449</v>
      </c>
    </row>
    <row r="21" spans="1:11" ht="15" customHeight="1" x14ac:dyDescent="0.25">
      <c r="A21" s="388" t="s">
        <v>388</v>
      </c>
      <c r="B21" s="389">
        <v>0.17869790068992839</v>
      </c>
      <c r="C21" s="390">
        <v>0.13786412756629474</v>
      </c>
      <c r="D21" s="390">
        <v>5.933578971024709E-2</v>
      </c>
      <c r="E21" s="390">
        <v>0.34785575061455842</v>
      </c>
      <c r="F21" s="390">
        <v>0.27274970181822178</v>
      </c>
      <c r="G21" s="391">
        <v>3.4967296007533573E-3</v>
      </c>
      <c r="I21" s="365"/>
      <c r="J21" s="387">
        <f t="shared" si="0"/>
        <v>6.9594759384068032</v>
      </c>
      <c r="K21" s="387">
        <f t="shared" si="1"/>
        <v>5.9335789710247093</v>
      </c>
    </row>
    <row r="22" spans="1:11" ht="15" customHeight="1" x14ac:dyDescent="0.25">
      <c r="A22" s="388" t="s">
        <v>389</v>
      </c>
      <c r="B22" s="389">
        <v>0.18159336580809421</v>
      </c>
      <c r="C22" s="390">
        <v>0.11791506542181639</v>
      </c>
      <c r="D22" s="390">
        <v>6.1813606522899633E-2</v>
      </c>
      <c r="E22" s="390">
        <v>0.35275927999787521</v>
      </c>
      <c r="F22" s="390">
        <v>0.2824219526485649</v>
      </c>
      <c r="G22" s="391">
        <v>3.4967296007533573E-3</v>
      </c>
      <c r="I22" s="365">
        <v>3</v>
      </c>
      <c r="J22" s="387">
        <f t="shared" si="0"/>
        <v>5.8274531724936676</v>
      </c>
      <c r="K22" s="387">
        <f t="shared" si="1"/>
        <v>6.1813606522899631</v>
      </c>
    </row>
    <row r="23" spans="1:11" ht="15" customHeight="1" x14ac:dyDescent="0.25">
      <c r="A23" s="388" t="s">
        <v>390</v>
      </c>
      <c r="B23" s="389">
        <v>0.17861866671104346</v>
      </c>
      <c r="C23" s="390">
        <v>9.0632352792705373E-2</v>
      </c>
      <c r="D23" s="390">
        <v>0.10934415398065274</v>
      </c>
      <c r="E23" s="390">
        <v>0.3222044014496982</v>
      </c>
      <c r="F23" s="390">
        <v>0.29570369546515046</v>
      </c>
      <c r="G23" s="391">
        <v>3.4967296007533573E-3</v>
      </c>
      <c r="I23" s="365"/>
      <c r="J23" s="387">
        <f t="shared" si="0"/>
        <v>8.4460170580228979</v>
      </c>
      <c r="K23" s="387">
        <f t="shared" si="1"/>
        <v>10.934415398065275</v>
      </c>
    </row>
    <row r="24" spans="1:11" ht="15" customHeight="1" x14ac:dyDescent="0.25">
      <c r="A24" s="388" t="s">
        <v>391</v>
      </c>
      <c r="B24" s="389">
        <v>0.15674346396724084</v>
      </c>
      <c r="C24" s="390">
        <v>0.10025638063671768</v>
      </c>
      <c r="D24" s="390">
        <v>0.10598745217551001</v>
      </c>
      <c r="E24" s="390">
        <v>0.31465374085856962</v>
      </c>
      <c r="F24" s="390">
        <v>0.32235896236196532</v>
      </c>
      <c r="G24" s="392">
        <v>0</v>
      </c>
      <c r="I24" s="365"/>
      <c r="J24" s="387">
        <f t="shared" si="0"/>
        <v>9.5354696977678941</v>
      </c>
      <c r="K24" s="387">
        <f t="shared" si="1"/>
        <v>10.598745217551</v>
      </c>
    </row>
    <row r="25" spans="1:11" ht="15" customHeight="1" x14ac:dyDescent="0.25">
      <c r="A25" s="388" t="s">
        <v>392</v>
      </c>
      <c r="B25" s="389">
        <v>0.14507081599161514</v>
      </c>
      <c r="C25" s="390">
        <v>9.7947107682096343E-2</v>
      </c>
      <c r="D25" s="390">
        <v>0.13578663597395024</v>
      </c>
      <c r="E25" s="390">
        <v>0.29487180324040324</v>
      </c>
      <c r="F25" s="390">
        <v>0.32632363711193851</v>
      </c>
      <c r="G25" s="392">
        <v>0</v>
      </c>
      <c r="I25" s="365"/>
      <c r="J25" s="387">
        <f t="shared" si="0"/>
        <v>10.886726120445555</v>
      </c>
      <c r="K25" s="387">
        <f t="shared" si="1"/>
        <v>13.578663597395025</v>
      </c>
    </row>
    <row r="26" spans="1:11" ht="15" customHeight="1" x14ac:dyDescent="0.25">
      <c r="A26" s="388" t="s">
        <v>393</v>
      </c>
      <c r="B26" s="389">
        <v>0.13135068699301039</v>
      </c>
      <c r="C26" s="390">
        <v>9.6958458943824766E-2</v>
      </c>
      <c r="D26" s="390">
        <v>0.14875924708421781</v>
      </c>
      <c r="E26" s="390">
        <v>0.27943829875529391</v>
      </c>
      <c r="F26" s="390">
        <v>0.34349330822365659</v>
      </c>
      <c r="G26" s="392">
        <v>0</v>
      </c>
      <c r="I26" s="365"/>
      <c r="J26" s="387">
        <f t="shared" si="0"/>
        <v>9.2830988769075713</v>
      </c>
      <c r="K26" s="387">
        <f t="shared" si="1"/>
        <v>14.875924708421781</v>
      </c>
    </row>
    <row r="27" spans="1:11" ht="15" customHeight="1" x14ac:dyDescent="0.25">
      <c r="A27" s="388" t="s">
        <v>394</v>
      </c>
      <c r="B27" s="389">
        <v>0.12590607467011991</v>
      </c>
      <c r="C27" s="390">
        <v>0.10264516068307243</v>
      </c>
      <c r="D27" s="390">
        <v>0.13196529327412221</v>
      </c>
      <c r="E27" s="390">
        <v>0.28661679728675549</v>
      </c>
      <c r="F27" s="390">
        <v>0.35286667408593347</v>
      </c>
      <c r="G27" s="392">
        <v>0</v>
      </c>
      <c r="I27" s="365"/>
      <c r="J27" s="387">
        <f t="shared" si="0"/>
        <v>11.686286012435186</v>
      </c>
      <c r="K27" s="387">
        <f t="shared" si="1"/>
        <v>13.196529327412222</v>
      </c>
    </row>
    <row r="28" spans="1:11" ht="15" customHeight="1" x14ac:dyDescent="0.25">
      <c r="A28" s="388" t="s">
        <v>395</v>
      </c>
      <c r="B28" s="389">
        <v>0.12477095709801388</v>
      </c>
      <c r="C28" s="390">
        <v>0.10994609361886001</v>
      </c>
      <c r="D28" s="390">
        <v>0.14238894734996588</v>
      </c>
      <c r="E28" s="390">
        <v>0.27521079396334064</v>
      </c>
      <c r="F28" s="390">
        <v>0.3476832079698231</v>
      </c>
      <c r="G28" s="392">
        <v>0</v>
      </c>
      <c r="I28" s="365">
        <v>4</v>
      </c>
      <c r="J28" s="387">
        <f t="shared" si="0"/>
        <v>10.839535563468068</v>
      </c>
      <c r="K28" s="387">
        <f t="shared" si="1"/>
        <v>14.238894734996588</v>
      </c>
    </row>
    <row r="29" spans="1:11" ht="15" customHeight="1" x14ac:dyDescent="0.25">
      <c r="A29" s="388" t="s">
        <v>396</v>
      </c>
      <c r="B29" s="389">
        <v>0.1122611505164596</v>
      </c>
      <c r="C29" s="390">
        <v>0.10333361232857577</v>
      </c>
      <c r="D29" s="390">
        <v>0.17790677755570372</v>
      </c>
      <c r="E29" s="390">
        <v>0.25920912725447026</v>
      </c>
      <c r="F29" s="390">
        <v>0.34572193740541612</v>
      </c>
      <c r="G29" s="391">
        <v>1.5673949393779809E-3</v>
      </c>
      <c r="I29" s="365"/>
      <c r="J29" s="387">
        <f t="shared" si="0"/>
        <v>12.120901573780953</v>
      </c>
      <c r="K29" s="387">
        <f t="shared" si="1"/>
        <v>17.790677755570371</v>
      </c>
    </row>
    <row r="30" spans="1:11" ht="15" customHeight="1" x14ac:dyDescent="0.25">
      <c r="A30" s="388" t="s">
        <v>397</v>
      </c>
      <c r="B30" s="389">
        <v>9.2451849044540582E-2</v>
      </c>
      <c r="C30" s="390">
        <v>0.11446217843892319</v>
      </c>
      <c r="D30" s="390">
        <v>0.18545512390903204</v>
      </c>
      <c r="E30" s="390">
        <v>0.24507997004086285</v>
      </c>
      <c r="F30" s="390">
        <v>0.3561937510663612</v>
      </c>
      <c r="G30" s="391">
        <v>6.3571275002836485E-3</v>
      </c>
      <c r="I30" s="365"/>
      <c r="J30" s="387">
        <f t="shared" si="0"/>
        <v>13.332725965747963</v>
      </c>
      <c r="K30" s="387">
        <f t="shared" si="1"/>
        <v>18.545512390903205</v>
      </c>
    </row>
    <row r="31" spans="1:11" ht="15" customHeight="1" x14ac:dyDescent="0.25">
      <c r="A31" s="388" t="s">
        <v>398</v>
      </c>
      <c r="B31" s="389">
        <v>7.7346033345909046E-2</v>
      </c>
      <c r="C31" s="390">
        <v>0.10862467847004653</v>
      </c>
      <c r="D31" s="390">
        <v>0.20055539166607766</v>
      </c>
      <c r="E31" s="390">
        <v>0.25058023334391782</v>
      </c>
      <c r="F31" s="390">
        <v>0.36289366317405258</v>
      </c>
      <c r="G31" s="392">
        <v>0</v>
      </c>
      <c r="I31" s="365"/>
      <c r="J31" s="387">
        <f t="shared" si="0"/>
        <v>14.892715818969851</v>
      </c>
      <c r="K31" s="387">
        <f t="shared" si="1"/>
        <v>20.055539166607765</v>
      </c>
    </row>
    <row r="32" spans="1:11" ht="15" customHeight="1" x14ac:dyDescent="0.25">
      <c r="A32" s="388" t="s">
        <v>399</v>
      </c>
      <c r="B32" s="389">
        <v>6.0052013845376374E-2</v>
      </c>
      <c r="C32" s="390">
        <v>0.1094496002416431</v>
      </c>
      <c r="D32" s="390">
        <v>0.23242881034639398</v>
      </c>
      <c r="E32" s="390">
        <v>0.24739512292541474</v>
      </c>
      <c r="F32" s="390">
        <v>0.35067445264117558</v>
      </c>
      <c r="G32" s="392">
        <v>0</v>
      </c>
      <c r="I32" s="365"/>
      <c r="J32" s="387">
        <f t="shared" si="0"/>
        <v>16.880038528077883</v>
      </c>
      <c r="K32" s="387">
        <f t="shared" si="1"/>
        <v>23.242881034639399</v>
      </c>
    </row>
    <row r="33" spans="1:11" ht="15" customHeight="1" x14ac:dyDescent="0.25">
      <c r="A33" s="388" t="s">
        <v>400</v>
      </c>
      <c r="B33" s="389">
        <v>5.6991103873527189E-2</v>
      </c>
      <c r="C33" s="390">
        <v>9.0052473552182252E-2</v>
      </c>
      <c r="D33" s="390">
        <v>0.25340326106378219</v>
      </c>
      <c r="E33" s="390">
        <v>0.2539192549309458</v>
      </c>
      <c r="F33" s="390">
        <v>0.34563390657956605</v>
      </c>
      <c r="G33" s="392">
        <v>0</v>
      </c>
      <c r="I33" s="365"/>
      <c r="J33" s="387">
        <f>D74*100</f>
        <v>18.948457395221318</v>
      </c>
      <c r="K33" s="387">
        <f>D33*100</f>
        <v>25.340326106378221</v>
      </c>
    </row>
    <row r="34" spans="1:11" ht="15" customHeight="1" x14ac:dyDescent="0.25">
      <c r="A34" s="388" t="s">
        <v>401</v>
      </c>
      <c r="B34" s="389">
        <v>4.767452778833501E-2</v>
      </c>
      <c r="C34" s="390">
        <v>8.4833933650752702E-2</v>
      </c>
      <c r="D34" s="390">
        <v>0.27077090277911164</v>
      </c>
      <c r="E34" s="390">
        <v>0.25362468755201739</v>
      </c>
      <c r="F34" s="390">
        <v>0.34309594822978684</v>
      </c>
      <c r="G34" s="392">
        <v>0</v>
      </c>
      <c r="I34" s="365">
        <v>5</v>
      </c>
      <c r="J34" s="387">
        <f t="shared" si="0"/>
        <v>20.639265176791042</v>
      </c>
      <c r="K34" s="387">
        <f t="shared" si="1"/>
        <v>27.077090277911164</v>
      </c>
    </row>
    <row r="35" spans="1:11" ht="15" customHeight="1" x14ac:dyDescent="0.25">
      <c r="A35" s="388" t="s">
        <v>402</v>
      </c>
      <c r="B35" s="389">
        <v>3.7638379489005121E-2</v>
      </c>
      <c r="C35" s="390">
        <v>8.0936282061084719E-2</v>
      </c>
      <c r="D35" s="390">
        <v>0.30144143343835234</v>
      </c>
      <c r="E35" s="390">
        <v>0.22314443460542224</v>
      </c>
      <c r="F35" s="390">
        <v>0.35434948293268304</v>
      </c>
      <c r="G35" s="391">
        <v>2.4899874734559363E-3</v>
      </c>
      <c r="I35" s="365"/>
      <c r="J35" s="387">
        <f t="shared" si="0"/>
        <v>23.362794742174252</v>
      </c>
      <c r="K35" s="387">
        <f t="shared" si="1"/>
        <v>30.144143343835232</v>
      </c>
    </row>
    <row r="36" spans="1:11" ht="15" customHeight="1" x14ac:dyDescent="0.25">
      <c r="A36" s="388" t="s">
        <v>403</v>
      </c>
      <c r="B36" s="389">
        <v>3.0937302824163435E-2</v>
      </c>
      <c r="C36" s="390">
        <v>6.7049358788672964E-2</v>
      </c>
      <c r="D36" s="390">
        <v>0.32542124846009257</v>
      </c>
      <c r="E36" s="390">
        <v>0.20877479528420356</v>
      </c>
      <c r="F36" s="390">
        <v>0.36532730716941508</v>
      </c>
      <c r="G36" s="391">
        <v>2.4899874734559363E-3</v>
      </c>
      <c r="I36" s="365"/>
      <c r="J36" s="387">
        <f t="shared" si="0"/>
        <v>22.369260864508199</v>
      </c>
      <c r="K36" s="387">
        <f t="shared" si="1"/>
        <v>32.542124846009258</v>
      </c>
    </row>
    <row r="37" spans="1:11" ht="15" customHeight="1" x14ac:dyDescent="0.25">
      <c r="A37" s="388" t="s">
        <v>404</v>
      </c>
      <c r="B37" s="389">
        <v>3.618923692956668E-2</v>
      </c>
      <c r="C37" s="390">
        <v>4.6301778744579837E-2</v>
      </c>
      <c r="D37" s="390">
        <v>0.34117247397006412</v>
      </c>
      <c r="E37" s="390">
        <v>0.20189703112279672</v>
      </c>
      <c r="F37" s="390">
        <v>0.36888009849915421</v>
      </c>
      <c r="G37" s="391">
        <v>5.5593807338421043E-3</v>
      </c>
      <c r="I37" s="365"/>
      <c r="J37" s="387">
        <f t="shared" si="0"/>
        <v>24.059418485408397</v>
      </c>
      <c r="K37" s="387">
        <f t="shared" si="1"/>
        <v>34.117247397006409</v>
      </c>
    </row>
    <row r="38" spans="1:11" ht="15" customHeight="1" x14ac:dyDescent="0.25">
      <c r="A38" s="388" t="s">
        <v>405</v>
      </c>
      <c r="B38" s="389">
        <v>2.9818035993066802E-2</v>
      </c>
      <c r="C38" s="390">
        <v>3.9222847172540966E-2</v>
      </c>
      <c r="D38" s="390">
        <v>0.38272010310930199</v>
      </c>
      <c r="E38" s="390">
        <v>0.19846385166806296</v>
      </c>
      <c r="F38" s="390">
        <v>0.34243117530287909</v>
      </c>
      <c r="G38" s="391">
        <v>7.3439867541517708E-3</v>
      </c>
      <c r="I38" s="365"/>
      <c r="J38" s="387">
        <f t="shared" si="0"/>
        <v>28.071845717693812</v>
      </c>
      <c r="K38" s="387">
        <f t="shared" si="1"/>
        <v>38.272010310930199</v>
      </c>
    </row>
    <row r="39" spans="1:11" ht="15" customHeight="1" x14ac:dyDescent="0.25">
      <c r="A39" s="388" t="s">
        <v>406</v>
      </c>
      <c r="B39" s="389">
        <v>1.7656763267465621E-2</v>
      </c>
      <c r="C39" s="390">
        <v>5.2108773642268374E-2</v>
      </c>
      <c r="D39" s="390">
        <v>0.39982210100728877</v>
      </c>
      <c r="E39" s="390">
        <v>0.18258356148403179</v>
      </c>
      <c r="F39" s="390">
        <v>0.34048481384479712</v>
      </c>
      <c r="G39" s="391">
        <v>7.3439867541517708E-3</v>
      </c>
      <c r="I39" s="365"/>
      <c r="J39" s="387">
        <f t="shared" si="0"/>
        <v>30.169046685114019</v>
      </c>
      <c r="K39" s="387">
        <f t="shared" si="1"/>
        <v>39.982210100728878</v>
      </c>
    </row>
    <row r="40" spans="1:11" ht="15" customHeight="1" thickBot="1" x14ac:dyDescent="0.3">
      <c r="A40" s="393" t="s">
        <v>407</v>
      </c>
      <c r="B40" s="394">
        <v>1.8743180342609876E-2</v>
      </c>
      <c r="C40" s="395">
        <v>4.6886542433092468E-2</v>
      </c>
      <c r="D40" s="395">
        <v>0.42931948382111701</v>
      </c>
      <c r="E40" s="395">
        <v>0.16791658935248727</v>
      </c>
      <c r="F40" s="395">
        <v>0.33494816443928355</v>
      </c>
      <c r="G40" s="396">
        <v>2.1860396114134805E-3</v>
      </c>
      <c r="I40" s="365">
        <v>6</v>
      </c>
      <c r="J40" s="387">
        <f t="shared" si="0"/>
        <v>34.579839804888266</v>
      </c>
      <c r="K40" s="387">
        <f t="shared" si="1"/>
        <v>42.931948382111699</v>
      </c>
    </row>
    <row r="41" spans="1:11" ht="15.75" thickTop="1" x14ac:dyDescent="0.25"/>
    <row r="43" spans="1:11" ht="18" customHeight="1" thickBot="1" x14ac:dyDescent="0.3">
      <c r="A43" s="1430" t="s">
        <v>408</v>
      </c>
      <c r="B43" s="1430"/>
      <c r="C43" s="1430"/>
      <c r="D43" s="1430"/>
      <c r="E43" s="1430"/>
      <c r="F43" s="1430"/>
      <c r="G43" s="1430"/>
    </row>
    <row r="44" spans="1:11" ht="69.95" customHeight="1" thickTop="1" x14ac:dyDescent="0.25">
      <c r="A44" s="1428"/>
      <c r="B44" s="376" t="s">
        <v>367</v>
      </c>
      <c r="C44" s="377" t="s">
        <v>412</v>
      </c>
      <c r="D44" s="377" t="s">
        <v>414</v>
      </c>
      <c r="E44" s="377" t="s">
        <v>368</v>
      </c>
      <c r="F44" s="377" t="s">
        <v>369</v>
      </c>
      <c r="G44" s="378" t="s">
        <v>370</v>
      </c>
    </row>
    <row r="45" spans="1:11" ht="15" customHeight="1" thickBot="1" x14ac:dyDescent="0.3">
      <c r="A45" s="1429"/>
      <c r="B45" s="379" t="s">
        <v>371</v>
      </c>
      <c r="C45" s="380" t="s">
        <v>371</v>
      </c>
      <c r="D45" s="380" t="s">
        <v>371</v>
      </c>
      <c r="E45" s="380" t="s">
        <v>371</v>
      </c>
      <c r="F45" s="380" t="s">
        <v>371</v>
      </c>
      <c r="G45" s="381" t="s">
        <v>371</v>
      </c>
    </row>
    <row r="46" spans="1:11" ht="15" customHeight="1" thickTop="1" x14ac:dyDescent="0.25">
      <c r="A46" s="383" t="s">
        <v>372</v>
      </c>
      <c r="B46" s="384">
        <v>0.33224875672515736</v>
      </c>
      <c r="C46" s="385">
        <v>0.14687028556749596</v>
      </c>
      <c r="D46" s="385">
        <v>0.39072582264717054</v>
      </c>
      <c r="E46" s="385">
        <v>0.12559603860031782</v>
      </c>
      <c r="F46" s="397">
        <v>4.5590964598556643E-3</v>
      </c>
      <c r="G46" s="398">
        <v>0</v>
      </c>
    </row>
    <row r="47" spans="1:11" ht="15" customHeight="1" x14ac:dyDescent="0.25">
      <c r="A47" s="388" t="s">
        <v>373</v>
      </c>
      <c r="B47" s="389">
        <v>0.34568035780935474</v>
      </c>
      <c r="C47" s="390">
        <v>0.2742000957130209</v>
      </c>
      <c r="D47" s="390">
        <v>0.22589376470646447</v>
      </c>
      <c r="E47" s="390">
        <v>0.14966668531130134</v>
      </c>
      <c r="F47" s="399">
        <v>4.5590964598556643E-3</v>
      </c>
      <c r="G47" s="392">
        <v>0</v>
      </c>
    </row>
    <row r="48" spans="1:11" ht="15" customHeight="1" x14ac:dyDescent="0.25">
      <c r="A48" s="388" t="s">
        <v>374</v>
      </c>
      <c r="B48" s="389">
        <v>0.36212359436087022</v>
      </c>
      <c r="C48" s="390">
        <v>0.34956860421699537</v>
      </c>
      <c r="D48" s="390">
        <v>9.8021294351450017E-2</v>
      </c>
      <c r="E48" s="390">
        <v>0.18390296232808886</v>
      </c>
      <c r="F48" s="399">
        <v>6.3835447425925011E-3</v>
      </c>
      <c r="G48" s="392">
        <v>0</v>
      </c>
    </row>
    <row r="49" spans="1:7" ht="15" customHeight="1" x14ac:dyDescent="0.25">
      <c r="A49" s="388" t="s">
        <v>375</v>
      </c>
      <c r="B49" s="389">
        <v>0.35557832142899243</v>
      </c>
      <c r="C49" s="390">
        <v>0.37057749743075669</v>
      </c>
      <c r="D49" s="390">
        <v>4.7658321581615919E-2</v>
      </c>
      <c r="E49" s="390">
        <v>0.20321311771013245</v>
      </c>
      <c r="F49" s="390">
        <v>2.297274184849964E-2</v>
      </c>
      <c r="G49" s="392">
        <v>0</v>
      </c>
    </row>
    <row r="50" spans="1:7" ht="15" customHeight="1" x14ac:dyDescent="0.25">
      <c r="A50" s="388" t="s">
        <v>376</v>
      </c>
      <c r="B50" s="389">
        <v>0.34917556828343765</v>
      </c>
      <c r="C50" s="390">
        <v>0.35765437945162609</v>
      </c>
      <c r="D50" s="390">
        <v>3.8373129390740064E-2</v>
      </c>
      <c r="E50" s="390">
        <v>0.23200549643262988</v>
      </c>
      <c r="F50" s="390">
        <v>2.2791426441563411E-2</v>
      </c>
      <c r="G50" s="392">
        <v>0</v>
      </c>
    </row>
    <row r="51" spans="1:7" ht="15" customHeight="1" x14ac:dyDescent="0.25">
      <c r="A51" s="388" t="s">
        <v>377</v>
      </c>
      <c r="B51" s="389">
        <v>0.32340524082190703</v>
      </c>
      <c r="C51" s="390">
        <v>0.34354115590049766</v>
      </c>
      <c r="D51" s="390">
        <v>4.5542662468983398E-2</v>
      </c>
      <c r="E51" s="390">
        <v>0.25910043335833849</v>
      </c>
      <c r="F51" s="390">
        <v>2.8410507450270406E-2</v>
      </c>
      <c r="G51" s="392">
        <v>0</v>
      </c>
    </row>
    <row r="52" spans="1:7" ht="15" customHeight="1" x14ac:dyDescent="0.25">
      <c r="A52" s="388" t="s">
        <v>378</v>
      </c>
      <c r="B52" s="389">
        <v>0.334523194341452</v>
      </c>
      <c r="C52" s="390">
        <v>0.29217271867150818</v>
      </c>
      <c r="D52" s="390">
        <v>6.5377404087980234E-2</v>
      </c>
      <c r="E52" s="390">
        <v>0.27103074591577564</v>
      </c>
      <c r="F52" s="390">
        <v>3.6895936983280975E-2</v>
      </c>
      <c r="G52" s="392">
        <v>0</v>
      </c>
    </row>
    <row r="53" spans="1:7" ht="15" customHeight="1" x14ac:dyDescent="0.25">
      <c r="A53" s="388" t="s">
        <v>379</v>
      </c>
      <c r="B53" s="389">
        <v>0.33853757809872398</v>
      </c>
      <c r="C53" s="390">
        <v>0.26845172470340506</v>
      </c>
      <c r="D53" s="390">
        <v>6.3189383251999992E-2</v>
      </c>
      <c r="E53" s="390">
        <v>0.29328182780753537</v>
      </c>
      <c r="F53" s="390">
        <v>3.653948613833273E-2</v>
      </c>
      <c r="G53" s="392">
        <v>0</v>
      </c>
    </row>
    <row r="54" spans="1:7" ht="15" customHeight="1" x14ac:dyDescent="0.25">
      <c r="A54" s="388" t="s">
        <v>380</v>
      </c>
      <c r="B54" s="389">
        <v>0.29219705341700158</v>
      </c>
      <c r="C54" s="390">
        <v>0.29144803274588654</v>
      </c>
      <c r="D54" s="390">
        <v>6.4322584039691932E-2</v>
      </c>
      <c r="E54" s="390">
        <v>0.29743393684967057</v>
      </c>
      <c r="F54" s="390">
        <v>5.207862778753828E-2</v>
      </c>
      <c r="G54" s="391">
        <v>2.519765160208283E-3</v>
      </c>
    </row>
    <row r="55" spans="1:7" ht="15" customHeight="1" x14ac:dyDescent="0.25">
      <c r="A55" s="388" t="s">
        <v>381</v>
      </c>
      <c r="B55" s="389">
        <v>0.28161677533331869</v>
      </c>
      <c r="C55" s="390">
        <v>0.27065353662768793</v>
      </c>
      <c r="D55" s="390">
        <v>4.6041744385311306E-2</v>
      </c>
      <c r="E55" s="390">
        <v>0.30326484217503069</v>
      </c>
      <c r="F55" s="390">
        <v>9.5903336318440377E-2</v>
      </c>
      <c r="G55" s="391">
        <v>2.519765160208283E-3</v>
      </c>
    </row>
    <row r="56" spans="1:7" ht="15" customHeight="1" x14ac:dyDescent="0.25">
      <c r="A56" s="388" t="s">
        <v>382</v>
      </c>
      <c r="B56" s="389">
        <v>0.29289911436064359</v>
      </c>
      <c r="C56" s="390">
        <v>0.23529891998756944</v>
      </c>
      <c r="D56" s="390">
        <v>3.9185443329553107E-2</v>
      </c>
      <c r="E56" s="390">
        <v>0.31742221941894511</v>
      </c>
      <c r="F56" s="390">
        <v>0.11519430290328589</v>
      </c>
      <c r="G56" s="392">
        <v>0</v>
      </c>
    </row>
    <row r="57" spans="1:7" ht="15" customHeight="1" x14ac:dyDescent="0.25">
      <c r="A57" s="388" t="s">
        <v>383</v>
      </c>
      <c r="B57" s="389">
        <v>0.32116712098942807</v>
      </c>
      <c r="C57" s="390">
        <v>0.18884395108176974</v>
      </c>
      <c r="D57" s="390">
        <v>4.2690224788067901E-2</v>
      </c>
      <c r="E57" s="390">
        <v>0.30655904290607638</v>
      </c>
      <c r="F57" s="390">
        <v>0.13368967789784819</v>
      </c>
      <c r="G57" s="391">
        <v>7.0499823368068279E-3</v>
      </c>
    </row>
    <row r="58" spans="1:7" ht="15" customHeight="1" x14ac:dyDescent="0.25">
      <c r="A58" s="388" t="s">
        <v>384</v>
      </c>
      <c r="B58" s="389">
        <v>0.31360360561982786</v>
      </c>
      <c r="C58" s="390">
        <v>0.1402737865151647</v>
      </c>
      <c r="D58" s="390">
        <v>4.2127375977619036E-2</v>
      </c>
      <c r="E58" s="390">
        <v>0.33916200930218321</v>
      </c>
      <c r="F58" s="390">
        <v>0.15778324024839538</v>
      </c>
      <c r="G58" s="391">
        <v>7.0499823368068279E-3</v>
      </c>
    </row>
    <row r="59" spans="1:7" ht="15" customHeight="1" x14ac:dyDescent="0.25">
      <c r="A59" s="388" t="s">
        <v>385</v>
      </c>
      <c r="B59" s="389">
        <v>0.30223784176830765</v>
      </c>
      <c r="C59" s="390">
        <v>0.11920317724732017</v>
      </c>
      <c r="D59" s="390">
        <v>6.3050527966970499E-2</v>
      </c>
      <c r="E59" s="390">
        <v>0.34602060017597547</v>
      </c>
      <c r="F59" s="390">
        <v>0.16699272610068192</v>
      </c>
      <c r="G59" s="391">
        <v>2.4951267407414242E-3</v>
      </c>
    </row>
    <row r="60" spans="1:7" ht="15" customHeight="1" x14ac:dyDescent="0.25">
      <c r="A60" s="388" t="s">
        <v>386</v>
      </c>
      <c r="B60" s="389">
        <v>0.30368821035262961</v>
      </c>
      <c r="C60" s="390">
        <v>8.5644726288436293E-2</v>
      </c>
      <c r="D60" s="390">
        <v>6.8043156395420148E-2</v>
      </c>
      <c r="E60" s="390">
        <v>0.36957157676700381</v>
      </c>
      <c r="F60" s="390">
        <v>0.16425143366919959</v>
      </c>
      <c r="G60" s="391">
        <v>8.8008965273078422E-3</v>
      </c>
    </row>
    <row r="61" spans="1:7" ht="15" customHeight="1" x14ac:dyDescent="0.25">
      <c r="A61" s="388" t="s">
        <v>387</v>
      </c>
      <c r="B61" s="389">
        <v>0.33774587854779653</v>
      </c>
      <c r="C61" s="390">
        <v>8.8057998968694054E-2</v>
      </c>
      <c r="D61" s="390">
        <v>5.9168762955192508E-2</v>
      </c>
      <c r="E61" s="390">
        <v>0.33209950271490568</v>
      </c>
      <c r="F61" s="390">
        <v>0.17412696028610047</v>
      </c>
      <c r="G61" s="391">
        <v>8.8008965273078422E-3</v>
      </c>
    </row>
    <row r="62" spans="1:7" ht="15" customHeight="1" x14ac:dyDescent="0.25">
      <c r="A62" s="388" t="s">
        <v>388</v>
      </c>
      <c r="B62" s="389">
        <v>0.34036225191772812</v>
      </c>
      <c r="C62" s="390">
        <v>7.3938494092795862E-2</v>
      </c>
      <c r="D62" s="390">
        <v>6.9594759384068033E-2</v>
      </c>
      <c r="E62" s="390">
        <v>0.32933836253826099</v>
      </c>
      <c r="F62" s="390">
        <v>0.18046036228057755</v>
      </c>
      <c r="G62" s="391">
        <v>6.3057697865664172E-3</v>
      </c>
    </row>
    <row r="63" spans="1:7" ht="15" customHeight="1" x14ac:dyDescent="0.25">
      <c r="A63" s="388" t="s">
        <v>389</v>
      </c>
      <c r="B63" s="389">
        <v>0.3506483187647792</v>
      </c>
      <c r="C63" s="390">
        <v>7.3716602460485003E-2</v>
      </c>
      <c r="D63" s="390">
        <v>5.8274531724936678E-2</v>
      </c>
      <c r="E63" s="390">
        <v>0.33543721675986732</v>
      </c>
      <c r="F63" s="390">
        <v>0.18192333028992902</v>
      </c>
      <c r="G63" s="392">
        <v>0</v>
      </c>
    </row>
    <row r="64" spans="1:7" ht="15" customHeight="1" x14ac:dyDescent="0.25">
      <c r="A64" s="388" t="s">
        <v>390</v>
      </c>
      <c r="B64" s="389">
        <v>0.32092441603501887</v>
      </c>
      <c r="C64" s="390">
        <v>8.3063260701964736E-2</v>
      </c>
      <c r="D64" s="390">
        <v>8.4460170580228977E-2</v>
      </c>
      <c r="E64" s="390">
        <v>0.29601995261024189</v>
      </c>
      <c r="F64" s="390">
        <v>0.21553220007254256</v>
      </c>
      <c r="G64" s="392">
        <v>0</v>
      </c>
    </row>
    <row r="65" spans="1:7" ht="15" customHeight="1" x14ac:dyDescent="0.25">
      <c r="A65" s="388" t="s">
        <v>391</v>
      </c>
      <c r="B65" s="389">
        <v>0.30135424787239395</v>
      </c>
      <c r="C65" s="390">
        <v>8.4374159287016498E-2</v>
      </c>
      <c r="D65" s="390">
        <v>9.535469697767894E-2</v>
      </c>
      <c r="E65" s="390">
        <v>0.29069026579443469</v>
      </c>
      <c r="F65" s="390">
        <v>0.22822663006847305</v>
      </c>
      <c r="G65" s="392">
        <v>0</v>
      </c>
    </row>
    <row r="66" spans="1:7" ht="15" customHeight="1" x14ac:dyDescent="0.25">
      <c r="A66" s="388" t="s">
        <v>392</v>
      </c>
      <c r="B66" s="389">
        <v>0.27971143102221913</v>
      </c>
      <c r="C66" s="390">
        <v>7.110044629608997E-2</v>
      </c>
      <c r="D66" s="390">
        <v>0.10886726120445556</v>
      </c>
      <c r="E66" s="390">
        <v>0.27726102139535536</v>
      </c>
      <c r="F66" s="390">
        <v>0.26305984008187722</v>
      </c>
      <c r="G66" s="392">
        <v>0</v>
      </c>
    </row>
    <row r="67" spans="1:7" ht="15" customHeight="1" x14ac:dyDescent="0.25">
      <c r="A67" s="388" t="s">
        <v>393</v>
      </c>
      <c r="B67" s="389">
        <v>0.29695396397110257</v>
      </c>
      <c r="C67" s="390">
        <v>6.8092339217690076E-2</v>
      </c>
      <c r="D67" s="390">
        <v>9.2830988769075709E-2</v>
      </c>
      <c r="E67" s="390">
        <v>0.27891518764869461</v>
      </c>
      <c r="F67" s="390">
        <v>0.26320752039343426</v>
      </c>
      <c r="G67" s="392">
        <v>0</v>
      </c>
    </row>
    <row r="68" spans="1:7" ht="15" customHeight="1" x14ac:dyDescent="0.25">
      <c r="A68" s="388" t="s">
        <v>394</v>
      </c>
      <c r="B68" s="389">
        <v>0.27495087557180414</v>
      </c>
      <c r="C68" s="390">
        <v>7.6541503174477291E-2</v>
      </c>
      <c r="D68" s="390">
        <v>0.11686286012435186</v>
      </c>
      <c r="E68" s="390">
        <v>0.26611724516968582</v>
      </c>
      <c r="F68" s="390">
        <v>0.26552751595967827</v>
      </c>
      <c r="G68" s="392">
        <v>0</v>
      </c>
    </row>
    <row r="69" spans="1:7" ht="15" customHeight="1" x14ac:dyDescent="0.25">
      <c r="A69" s="388" t="s">
        <v>395</v>
      </c>
      <c r="B69" s="389">
        <v>0.24436896703649669</v>
      </c>
      <c r="C69" s="390">
        <v>0.10449939495239276</v>
      </c>
      <c r="D69" s="390">
        <v>0.10839535563468068</v>
      </c>
      <c r="E69" s="390">
        <v>0.24609340182567563</v>
      </c>
      <c r="F69" s="390">
        <v>0.29664288055075161</v>
      </c>
      <c r="G69" s="392">
        <v>0</v>
      </c>
    </row>
    <row r="70" spans="1:7" ht="15" customHeight="1" x14ac:dyDescent="0.25">
      <c r="A70" s="388" t="s">
        <v>396</v>
      </c>
      <c r="B70" s="389">
        <v>0.2486402282429333</v>
      </c>
      <c r="C70" s="390">
        <v>9.9465129322496904E-2</v>
      </c>
      <c r="D70" s="390">
        <v>0.12120901573780954</v>
      </c>
      <c r="E70" s="390">
        <v>0.21121824619673363</v>
      </c>
      <c r="F70" s="390">
        <v>0.31831280573433651</v>
      </c>
      <c r="G70" s="391">
        <v>1.1545747656876483E-3</v>
      </c>
    </row>
    <row r="71" spans="1:7" ht="15" customHeight="1" x14ac:dyDescent="0.25">
      <c r="A71" s="388" t="s">
        <v>397</v>
      </c>
      <c r="B71" s="389">
        <v>0.22774830385414593</v>
      </c>
      <c r="C71" s="390">
        <v>0.11247246903815722</v>
      </c>
      <c r="D71" s="390">
        <v>0.13332725965747963</v>
      </c>
      <c r="E71" s="390">
        <v>0.21698921832354251</v>
      </c>
      <c r="F71" s="390">
        <v>0.30830817436098451</v>
      </c>
      <c r="G71" s="391">
        <v>1.1545747656876483E-3</v>
      </c>
    </row>
    <row r="72" spans="1:7" ht="15" customHeight="1" x14ac:dyDescent="0.25">
      <c r="A72" s="388" t="s">
        <v>398</v>
      </c>
      <c r="B72" s="389">
        <v>0.24133878736505662</v>
      </c>
      <c r="C72" s="390">
        <v>0.10697954046118893</v>
      </c>
      <c r="D72" s="390">
        <v>0.14892715818969851</v>
      </c>
      <c r="E72" s="390">
        <v>0.18920948400119528</v>
      </c>
      <c r="F72" s="390">
        <v>0.31239045521717057</v>
      </c>
      <c r="G72" s="391">
        <v>1.1545747656876483E-3</v>
      </c>
    </row>
    <row r="73" spans="1:7" ht="15" customHeight="1" x14ac:dyDescent="0.25">
      <c r="A73" s="388" t="s">
        <v>399</v>
      </c>
      <c r="B73" s="389">
        <v>0.19263738449617587</v>
      </c>
      <c r="C73" s="390">
        <v>0.10619737048975547</v>
      </c>
      <c r="D73" s="390">
        <v>0.16880038528077881</v>
      </c>
      <c r="E73" s="390">
        <v>0.19283965805756759</v>
      </c>
      <c r="F73" s="390">
        <v>0.33837062691003195</v>
      </c>
      <c r="G73" s="391">
        <v>1.1545747656876483E-3</v>
      </c>
    </row>
    <row r="74" spans="1:7" ht="15" customHeight="1" x14ac:dyDescent="0.25">
      <c r="A74" s="388" t="s">
        <v>400</v>
      </c>
      <c r="B74" s="389">
        <v>0.17831165999939969</v>
      </c>
      <c r="C74" s="390">
        <v>7.5163821852452878E-2</v>
      </c>
      <c r="D74" s="390">
        <v>0.18948457395221319</v>
      </c>
      <c r="E74" s="390">
        <v>0.20007919460083612</v>
      </c>
      <c r="F74" s="390">
        <v>0.3558061748294078</v>
      </c>
      <c r="G74" s="391">
        <v>1.1545747656876483E-3</v>
      </c>
    </row>
    <row r="75" spans="1:7" ht="15" customHeight="1" x14ac:dyDescent="0.25">
      <c r="A75" s="388" t="s">
        <v>401</v>
      </c>
      <c r="B75" s="389">
        <v>0.1723039195865293</v>
      </c>
      <c r="C75" s="390">
        <v>6.6010919504837007E-2</v>
      </c>
      <c r="D75" s="390">
        <v>0.20639265176791041</v>
      </c>
      <c r="E75" s="390">
        <v>0.18380172340730025</v>
      </c>
      <c r="F75" s="390">
        <v>0.37033621096773289</v>
      </c>
      <c r="G75" s="391">
        <v>1.1545747656876483E-3</v>
      </c>
    </row>
    <row r="76" spans="1:7" ht="15" customHeight="1" x14ac:dyDescent="0.25">
      <c r="A76" s="388" t="s">
        <v>402</v>
      </c>
      <c r="B76" s="389">
        <v>0.13461758505458329</v>
      </c>
      <c r="C76" s="390">
        <v>5.4956738256630416E-2</v>
      </c>
      <c r="D76" s="390">
        <v>0.23362794742174253</v>
      </c>
      <c r="E76" s="390">
        <v>0.18550639197855034</v>
      </c>
      <c r="F76" s="390">
        <v>0.39129133728849086</v>
      </c>
      <c r="G76" s="392">
        <v>0</v>
      </c>
    </row>
    <row r="77" spans="1:7" ht="15" customHeight="1" x14ac:dyDescent="0.25">
      <c r="A77" s="388" t="s">
        <v>403</v>
      </c>
      <c r="B77" s="389">
        <v>0.13041123843969768</v>
      </c>
      <c r="C77" s="390">
        <v>4.3519098884493033E-2</v>
      </c>
      <c r="D77" s="390">
        <v>0.223692608645082</v>
      </c>
      <c r="E77" s="390">
        <v>0.19965536694807398</v>
      </c>
      <c r="F77" s="390">
        <v>0.40272168708265083</v>
      </c>
      <c r="G77" s="392">
        <v>0</v>
      </c>
    </row>
    <row r="78" spans="1:7" ht="15" customHeight="1" x14ac:dyDescent="0.25">
      <c r="A78" s="388" t="s">
        <v>404</v>
      </c>
      <c r="B78" s="389">
        <v>0.1270835017190356</v>
      </c>
      <c r="C78" s="390">
        <v>2.8465327449364222E-2</v>
      </c>
      <c r="D78" s="390">
        <v>0.24059418485408396</v>
      </c>
      <c r="E78" s="390">
        <v>0.1963070939522801</v>
      </c>
      <c r="F78" s="390">
        <v>0.40754989202523345</v>
      </c>
      <c r="G78" s="392">
        <v>0</v>
      </c>
    </row>
    <row r="79" spans="1:7" ht="15" customHeight="1" x14ac:dyDescent="0.25">
      <c r="A79" s="388" t="s">
        <v>405</v>
      </c>
      <c r="B79" s="389">
        <v>0.11293536516839119</v>
      </c>
      <c r="C79" s="390">
        <v>2.8713226808050111E-2</v>
      </c>
      <c r="D79" s="390">
        <v>0.28071845717693811</v>
      </c>
      <c r="E79" s="390">
        <v>0.18859418394556454</v>
      </c>
      <c r="F79" s="390">
        <v>0.38544070746899706</v>
      </c>
      <c r="G79" s="391">
        <v>3.5980594320566437E-3</v>
      </c>
    </row>
    <row r="80" spans="1:7" ht="15" customHeight="1" x14ac:dyDescent="0.25">
      <c r="A80" s="388" t="s">
        <v>406</v>
      </c>
      <c r="B80" s="389">
        <v>9.4923416601201321E-2</v>
      </c>
      <c r="C80" s="390">
        <v>2.1401797399690312E-2</v>
      </c>
      <c r="D80" s="390">
        <v>0.3016904668511402</v>
      </c>
      <c r="E80" s="390">
        <v>0.18013286441282295</v>
      </c>
      <c r="F80" s="390">
        <v>0.39825339530308612</v>
      </c>
      <c r="G80" s="391">
        <v>3.5980594320566437E-3</v>
      </c>
    </row>
    <row r="81" spans="1:7" ht="15" customHeight="1" thickBot="1" x14ac:dyDescent="0.3">
      <c r="A81" s="393" t="s">
        <v>407</v>
      </c>
      <c r="B81" s="394">
        <v>6.2996933978770542E-2</v>
      </c>
      <c r="C81" s="395">
        <v>2.554749802438392E-2</v>
      </c>
      <c r="D81" s="395">
        <v>0.34579839804888268</v>
      </c>
      <c r="E81" s="395">
        <v>0.16880496460845473</v>
      </c>
      <c r="F81" s="395">
        <v>0.39325414590744884</v>
      </c>
      <c r="G81" s="396">
        <v>3.5980594320566437E-3</v>
      </c>
    </row>
    <row r="82" spans="1:7" ht="15.75" thickTop="1" x14ac:dyDescent="0.25"/>
  </sheetData>
  <mergeCells count="5">
    <mergeCell ref="A2:G2"/>
    <mergeCell ref="A3:A4"/>
    <mergeCell ref="M4:X5"/>
    <mergeCell ref="A43:G43"/>
    <mergeCell ref="A44:A45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81"/>
  <sheetViews>
    <sheetView topLeftCell="L1" workbookViewId="0">
      <selection activeCell="M3" sqref="M3"/>
    </sheetView>
  </sheetViews>
  <sheetFormatPr defaultRowHeight="15" x14ac:dyDescent="0.25"/>
  <cols>
    <col min="1" max="1" width="6.85546875" style="339" customWidth="1"/>
    <col min="2" max="2" width="13.28515625" style="339" customWidth="1"/>
    <col min="3" max="3" width="10.7109375" style="339" customWidth="1"/>
    <col min="4" max="4" width="11.7109375" style="339" customWidth="1"/>
    <col min="5" max="5" width="11" style="339" customWidth="1"/>
    <col min="6" max="6" width="9" style="339" customWidth="1"/>
    <col min="7" max="7" width="10.7109375" style="339" customWidth="1"/>
    <col min="8" max="9" width="9.140625" style="339"/>
    <col min="10" max="10" width="12.7109375" style="339" customWidth="1"/>
    <col min="11" max="11" width="11.85546875" style="339" customWidth="1"/>
    <col min="12" max="22" width="9.140625" style="339"/>
    <col min="23" max="23" width="12.28515625" style="339" customWidth="1"/>
    <col min="24" max="24" width="12.140625" style="339" customWidth="1"/>
    <col min="25" max="16384" width="9.140625" style="339"/>
  </cols>
  <sheetData>
    <row r="2" spans="1:24" ht="18" customHeight="1" thickBot="1" x14ac:dyDescent="0.3">
      <c r="A2" s="1427" t="s">
        <v>366</v>
      </c>
      <c r="B2" s="1427"/>
      <c r="C2" s="1427"/>
      <c r="D2" s="1427"/>
      <c r="E2" s="1427"/>
      <c r="F2" s="1427"/>
      <c r="G2" s="1427"/>
    </row>
    <row r="3" spans="1:24" ht="69.95" customHeight="1" thickTop="1" x14ac:dyDescent="0.25">
      <c r="A3" s="1428"/>
      <c r="B3" s="376" t="s">
        <v>367</v>
      </c>
      <c r="C3" s="377" t="s">
        <v>412</v>
      </c>
      <c r="D3" s="377" t="s">
        <v>413</v>
      </c>
      <c r="E3" s="377" t="s">
        <v>368</v>
      </c>
      <c r="F3" s="377" t="s">
        <v>369</v>
      </c>
      <c r="G3" s="378" t="s">
        <v>370</v>
      </c>
    </row>
    <row r="4" spans="1:24" ht="15" customHeight="1" thickBot="1" x14ac:dyDescent="0.3">
      <c r="A4" s="1429"/>
      <c r="B4" s="379" t="s">
        <v>371</v>
      </c>
      <c r="C4" s="380" t="s">
        <v>371</v>
      </c>
      <c r="D4" s="380" t="s">
        <v>371</v>
      </c>
      <c r="E4" s="380" t="s">
        <v>371</v>
      </c>
      <c r="F4" s="380" t="s">
        <v>371</v>
      </c>
      <c r="G4" s="381" t="s">
        <v>371</v>
      </c>
      <c r="I4" s="365"/>
      <c r="J4" s="382" t="s">
        <v>11</v>
      </c>
      <c r="K4" s="382" t="s">
        <v>12</v>
      </c>
      <c r="M4" s="1431" t="s">
        <v>481</v>
      </c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</row>
    <row r="5" spans="1:24" ht="18" customHeight="1" thickTop="1" x14ac:dyDescent="0.25">
      <c r="A5" s="383" t="s">
        <v>372</v>
      </c>
      <c r="B5" s="384">
        <v>0.20697093576563166</v>
      </c>
      <c r="C5" s="385">
        <v>0.18617003394687073</v>
      </c>
      <c r="D5" s="385">
        <v>0.41323811300230884</v>
      </c>
      <c r="E5" s="385">
        <v>0.16860084247598578</v>
      </c>
      <c r="F5" s="385">
        <v>2.1789134535116064E-2</v>
      </c>
      <c r="G5" s="386">
        <v>3.2309402740907027E-3</v>
      </c>
      <c r="I5" s="365"/>
      <c r="J5" s="387">
        <f>E46*100</f>
        <v>12.559603860031782</v>
      </c>
      <c r="K5" s="387">
        <f>E5*100</f>
        <v>16.860084247598579</v>
      </c>
      <c r="M5" s="1431"/>
      <c r="N5" s="1431"/>
      <c r="O5" s="1431"/>
      <c r="P5" s="1431"/>
      <c r="Q5" s="1431"/>
      <c r="R5" s="1431"/>
      <c r="S5" s="1431"/>
      <c r="T5" s="1431"/>
      <c r="U5" s="1431"/>
      <c r="V5" s="1431"/>
      <c r="W5" s="1431"/>
      <c r="X5" s="1431"/>
    </row>
    <row r="6" spans="1:24" ht="15" customHeight="1" x14ac:dyDescent="0.25">
      <c r="A6" s="388" t="s">
        <v>373</v>
      </c>
      <c r="B6" s="389">
        <v>0.21245320834594569</v>
      </c>
      <c r="C6" s="390">
        <v>0.29028067416471881</v>
      </c>
      <c r="D6" s="390">
        <v>0.2698908037332437</v>
      </c>
      <c r="E6" s="390">
        <v>0.19861855358396499</v>
      </c>
      <c r="F6" s="390">
        <v>2.5525819898039915E-2</v>
      </c>
      <c r="G6" s="391">
        <v>3.2309402740907027E-3</v>
      </c>
      <c r="I6" s="365"/>
      <c r="J6" s="387">
        <f t="shared" ref="J6:J40" si="0">E47*100</f>
        <v>14.966668531130134</v>
      </c>
      <c r="K6" s="387">
        <f t="shared" ref="K6:K40" si="1">E6*100</f>
        <v>19.8618553583965</v>
      </c>
    </row>
    <row r="7" spans="1:24" ht="15" customHeight="1" x14ac:dyDescent="0.25">
      <c r="A7" s="388" t="s">
        <v>374</v>
      </c>
      <c r="B7" s="389">
        <v>0.17693885561980402</v>
      </c>
      <c r="C7" s="390">
        <v>0.4011562605544019</v>
      </c>
      <c r="D7" s="390">
        <v>0.16464264922815025</v>
      </c>
      <c r="E7" s="390">
        <v>0.22923830658568797</v>
      </c>
      <c r="F7" s="390">
        <v>2.8023928011959708E-2</v>
      </c>
      <c r="G7" s="392">
        <v>0</v>
      </c>
      <c r="I7" s="365"/>
      <c r="J7" s="387">
        <f t="shared" si="0"/>
        <v>18.390296232808886</v>
      </c>
      <c r="K7" s="387">
        <f t="shared" si="1"/>
        <v>22.923830658568797</v>
      </c>
    </row>
    <row r="8" spans="1:24" ht="15" customHeight="1" x14ac:dyDescent="0.25">
      <c r="A8" s="388" t="s">
        <v>375</v>
      </c>
      <c r="B8" s="389">
        <v>0.15346043702323034</v>
      </c>
      <c r="C8" s="390">
        <v>0.44072426743327214</v>
      </c>
      <c r="D8" s="390">
        <v>9.2008759851099936E-2</v>
      </c>
      <c r="E8" s="390">
        <v>0.27147086531332904</v>
      </c>
      <c r="F8" s="390">
        <v>4.1418550703090216E-2</v>
      </c>
      <c r="G8" s="391">
        <v>9.1711967598198467E-4</v>
      </c>
      <c r="I8" s="365"/>
      <c r="J8" s="387">
        <f t="shared" si="0"/>
        <v>20.321311771013246</v>
      </c>
      <c r="K8" s="387">
        <f t="shared" si="1"/>
        <v>27.147086531332903</v>
      </c>
    </row>
    <row r="9" spans="1:24" ht="15" customHeight="1" x14ac:dyDescent="0.25">
      <c r="A9" s="388" t="s">
        <v>376</v>
      </c>
      <c r="B9" s="389">
        <v>0.1382452133206446</v>
      </c>
      <c r="C9" s="390">
        <v>0.40327926029534877</v>
      </c>
      <c r="D9" s="390">
        <v>7.3184728517348835E-2</v>
      </c>
      <c r="E9" s="390">
        <v>0.31916416319970825</v>
      </c>
      <c r="F9" s="390">
        <v>6.0419782430065565E-2</v>
      </c>
      <c r="G9" s="391">
        <v>5.7068522368876502E-3</v>
      </c>
      <c r="I9" s="365"/>
      <c r="J9" s="387">
        <f t="shared" si="0"/>
        <v>23.200549643262988</v>
      </c>
      <c r="K9" s="387">
        <f t="shared" si="1"/>
        <v>31.916416319970825</v>
      </c>
    </row>
    <row r="10" spans="1:24" ht="15" customHeight="1" x14ac:dyDescent="0.25">
      <c r="A10" s="388" t="s">
        <v>377</v>
      </c>
      <c r="B10" s="389">
        <v>0.1358869387428614</v>
      </c>
      <c r="C10" s="390">
        <v>0.35813356510422628</v>
      </c>
      <c r="D10" s="390">
        <v>8.1709639402374079E-2</v>
      </c>
      <c r="E10" s="390">
        <v>0.35119604033282653</v>
      </c>
      <c r="F10" s="390">
        <v>7.2156696741733237E-2</v>
      </c>
      <c r="G10" s="391">
        <v>9.1711967598198467E-4</v>
      </c>
      <c r="I10" s="365">
        <v>1</v>
      </c>
      <c r="J10" s="387">
        <f t="shared" si="0"/>
        <v>25.910043335833848</v>
      </c>
      <c r="K10" s="387">
        <f t="shared" si="1"/>
        <v>35.119604033282656</v>
      </c>
    </row>
    <row r="11" spans="1:24" ht="15" customHeight="1" x14ac:dyDescent="0.25">
      <c r="A11" s="388" t="s">
        <v>378</v>
      </c>
      <c r="B11" s="389">
        <v>0.1487066443076823</v>
      </c>
      <c r="C11" s="390">
        <v>0.2786343292786162</v>
      </c>
      <c r="D11" s="390">
        <v>4.8614889238659885E-2</v>
      </c>
      <c r="E11" s="390">
        <v>0.42205475716122876</v>
      </c>
      <c r="F11" s="390">
        <v>0.10198938001381648</v>
      </c>
      <c r="G11" s="392">
        <v>0</v>
      </c>
      <c r="I11" s="365"/>
      <c r="J11" s="387">
        <f t="shared" si="0"/>
        <v>27.103074591577563</v>
      </c>
      <c r="K11" s="387">
        <f t="shared" si="1"/>
        <v>42.205475716122876</v>
      </c>
    </row>
    <row r="12" spans="1:24" ht="15" customHeight="1" x14ac:dyDescent="0.25">
      <c r="A12" s="388" t="s">
        <v>379</v>
      </c>
      <c r="B12" s="389">
        <v>0.15764047869470016</v>
      </c>
      <c r="C12" s="390">
        <v>0.21206987420002382</v>
      </c>
      <c r="D12" s="390">
        <v>7.1614318545048294E-2</v>
      </c>
      <c r="E12" s="390">
        <v>0.43886209392793257</v>
      </c>
      <c r="F12" s="390">
        <v>0.11981323463229905</v>
      </c>
      <c r="G12" s="392">
        <v>0</v>
      </c>
      <c r="I12" s="365"/>
      <c r="J12" s="387">
        <f t="shared" si="0"/>
        <v>29.328182780753536</v>
      </c>
      <c r="K12" s="387">
        <f t="shared" si="1"/>
        <v>43.886209392793255</v>
      </c>
    </row>
    <row r="13" spans="1:24" ht="15" customHeight="1" x14ac:dyDescent="0.25">
      <c r="A13" s="388" t="s">
        <v>380</v>
      </c>
      <c r="B13" s="389">
        <v>0.13768400551601215</v>
      </c>
      <c r="C13" s="390">
        <v>0.17928866089662443</v>
      </c>
      <c r="D13" s="390">
        <v>8.1885974382477772E-2</v>
      </c>
      <c r="E13" s="390">
        <v>0.46320271918881545</v>
      </c>
      <c r="F13" s="390">
        <v>0.137938640016074</v>
      </c>
      <c r="G13" s="392">
        <v>0</v>
      </c>
      <c r="I13" s="365"/>
      <c r="J13" s="387">
        <f t="shared" si="0"/>
        <v>29.743393684967057</v>
      </c>
      <c r="K13" s="387">
        <f t="shared" si="1"/>
        <v>46.320271918881545</v>
      </c>
    </row>
    <row r="14" spans="1:24" ht="15" customHeight="1" x14ac:dyDescent="0.25">
      <c r="A14" s="388" t="s">
        <v>381</v>
      </c>
      <c r="B14" s="389">
        <v>0.15813975440560862</v>
      </c>
      <c r="C14" s="390">
        <v>0.14127648290126768</v>
      </c>
      <c r="D14" s="390">
        <v>7.1789892689549342E-2</v>
      </c>
      <c r="E14" s="390">
        <v>0.46390998907471703</v>
      </c>
      <c r="F14" s="390">
        <v>0.15938405485263143</v>
      </c>
      <c r="G14" s="391">
        <v>5.4998260762296799E-3</v>
      </c>
      <c r="I14" s="365"/>
      <c r="J14" s="387">
        <f t="shared" si="0"/>
        <v>30.326484217503069</v>
      </c>
      <c r="K14" s="387">
        <f t="shared" si="1"/>
        <v>46.390998907471705</v>
      </c>
    </row>
    <row r="15" spans="1:24" ht="15" customHeight="1" x14ac:dyDescent="0.25">
      <c r="A15" s="388" t="s">
        <v>382</v>
      </c>
      <c r="B15" s="389">
        <v>0.14975137721980478</v>
      </c>
      <c r="C15" s="390">
        <v>0.15199058140625671</v>
      </c>
      <c r="D15" s="390">
        <v>7.1423988230101876E-2</v>
      </c>
      <c r="E15" s="390">
        <v>0.45046959545334431</v>
      </c>
      <c r="F15" s="390">
        <v>0.17086463161426649</v>
      </c>
      <c r="G15" s="391">
        <v>5.4998260762296799E-3</v>
      </c>
      <c r="I15" s="365"/>
      <c r="J15" s="387">
        <f t="shared" si="0"/>
        <v>31.74222194189451</v>
      </c>
      <c r="K15" s="387">
        <f t="shared" si="1"/>
        <v>45.046959545334431</v>
      </c>
    </row>
    <row r="16" spans="1:24" ht="15" customHeight="1" x14ac:dyDescent="0.25">
      <c r="A16" s="388" t="s">
        <v>383</v>
      </c>
      <c r="B16" s="389">
        <v>0.17111232942105142</v>
      </c>
      <c r="C16" s="390">
        <v>0.12954720197906255</v>
      </c>
      <c r="D16" s="390">
        <v>7.610183776547072E-2</v>
      </c>
      <c r="E16" s="390">
        <v>0.43960903251276867</v>
      </c>
      <c r="F16" s="390">
        <v>0.17812977224542073</v>
      </c>
      <c r="G16" s="391">
        <v>5.4998260762296799E-3</v>
      </c>
      <c r="I16" s="365">
        <v>2</v>
      </c>
      <c r="J16" s="387">
        <f t="shared" si="0"/>
        <v>30.655904290607637</v>
      </c>
      <c r="K16" s="387">
        <f t="shared" si="1"/>
        <v>43.960903251276868</v>
      </c>
    </row>
    <row r="17" spans="1:11" ht="15" customHeight="1" x14ac:dyDescent="0.25">
      <c r="A17" s="388" t="s">
        <v>384</v>
      </c>
      <c r="B17" s="389">
        <v>0.18083906355355911</v>
      </c>
      <c r="C17" s="390">
        <v>0.1253235577678278</v>
      </c>
      <c r="D17" s="390">
        <v>7.5796599653554217E-2</v>
      </c>
      <c r="E17" s="390">
        <v>0.40161778416518584</v>
      </c>
      <c r="F17" s="390">
        <v>0.20965236802322565</v>
      </c>
      <c r="G17" s="391">
        <v>6.7706268366510055E-3</v>
      </c>
      <c r="I17" s="365"/>
      <c r="J17" s="387">
        <f t="shared" si="0"/>
        <v>33.916200930218324</v>
      </c>
      <c r="K17" s="387">
        <f t="shared" si="1"/>
        <v>40.161778416518587</v>
      </c>
    </row>
    <row r="18" spans="1:11" ht="15" customHeight="1" x14ac:dyDescent="0.25">
      <c r="A18" s="388" t="s">
        <v>385</v>
      </c>
      <c r="B18" s="389">
        <v>0.17918304264490081</v>
      </c>
      <c r="C18" s="390">
        <v>0.12181619150378051</v>
      </c>
      <c r="D18" s="390">
        <v>6.9246212471114593E-2</v>
      </c>
      <c r="E18" s="390">
        <v>0.39862886380317603</v>
      </c>
      <c r="F18" s="390">
        <v>0.2219976209041766</v>
      </c>
      <c r="G18" s="391">
        <v>9.1280686728551115E-3</v>
      </c>
      <c r="I18" s="365"/>
      <c r="J18" s="387">
        <f t="shared" si="0"/>
        <v>34.602060017597545</v>
      </c>
      <c r="K18" s="387">
        <f t="shared" si="1"/>
        <v>39.862886380317605</v>
      </c>
    </row>
    <row r="19" spans="1:11" ht="15" customHeight="1" x14ac:dyDescent="0.25">
      <c r="A19" s="388" t="s">
        <v>386</v>
      </c>
      <c r="B19" s="389">
        <v>0.17851159577899833</v>
      </c>
      <c r="C19" s="390">
        <v>0.12727961047872505</v>
      </c>
      <c r="D19" s="390">
        <v>6.763390256911618E-2</v>
      </c>
      <c r="E19" s="390">
        <v>0.38970188302706338</v>
      </c>
      <c r="F19" s="390">
        <v>0.22983659198278719</v>
      </c>
      <c r="G19" s="391">
        <v>7.0364161633136605E-3</v>
      </c>
      <c r="I19" s="365"/>
      <c r="J19" s="387">
        <f t="shared" si="0"/>
        <v>36.957157676700383</v>
      </c>
      <c r="K19" s="387">
        <f t="shared" si="1"/>
        <v>38.97018830270634</v>
      </c>
    </row>
    <row r="20" spans="1:11" ht="15" customHeight="1" x14ac:dyDescent="0.25">
      <c r="A20" s="388" t="s">
        <v>387</v>
      </c>
      <c r="B20" s="389">
        <v>0.181351567540878</v>
      </c>
      <c r="C20" s="390">
        <v>0.13537207465154455</v>
      </c>
      <c r="D20" s="390">
        <v>5.3607064915925449E-2</v>
      </c>
      <c r="E20" s="390">
        <v>0.38533031075853413</v>
      </c>
      <c r="F20" s="390">
        <v>0.24306818137270036</v>
      </c>
      <c r="G20" s="391">
        <v>1.2708007604213247E-3</v>
      </c>
      <c r="I20" s="365"/>
      <c r="J20" s="387">
        <f t="shared" si="0"/>
        <v>33.20995027149057</v>
      </c>
      <c r="K20" s="387">
        <f t="shared" si="1"/>
        <v>38.533031075853415</v>
      </c>
    </row>
    <row r="21" spans="1:11" ht="15" customHeight="1" x14ac:dyDescent="0.25">
      <c r="A21" s="388" t="s">
        <v>388</v>
      </c>
      <c r="B21" s="389">
        <v>0.17869790068992839</v>
      </c>
      <c r="C21" s="390">
        <v>0.13786412756629474</v>
      </c>
      <c r="D21" s="390">
        <v>5.933578971024709E-2</v>
      </c>
      <c r="E21" s="390">
        <v>0.34785575061455842</v>
      </c>
      <c r="F21" s="390">
        <v>0.27274970181822178</v>
      </c>
      <c r="G21" s="391">
        <v>3.4967296007533573E-3</v>
      </c>
      <c r="I21" s="365"/>
      <c r="J21" s="387">
        <f t="shared" si="0"/>
        <v>32.933836253826101</v>
      </c>
      <c r="K21" s="387">
        <f t="shared" si="1"/>
        <v>34.785575061455845</v>
      </c>
    </row>
    <row r="22" spans="1:11" ht="15" customHeight="1" x14ac:dyDescent="0.25">
      <c r="A22" s="388" t="s">
        <v>389</v>
      </c>
      <c r="B22" s="389">
        <v>0.18159336580809421</v>
      </c>
      <c r="C22" s="390">
        <v>0.11791506542181639</v>
      </c>
      <c r="D22" s="390">
        <v>6.1813606522899633E-2</v>
      </c>
      <c r="E22" s="390">
        <v>0.35275927999787521</v>
      </c>
      <c r="F22" s="390">
        <v>0.2824219526485649</v>
      </c>
      <c r="G22" s="391">
        <v>3.4967296007533573E-3</v>
      </c>
      <c r="I22" s="365">
        <v>3</v>
      </c>
      <c r="J22" s="387">
        <f t="shared" si="0"/>
        <v>33.543721675986731</v>
      </c>
      <c r="K22" s="387">
        <f t="shared" si="1"/>
        <v>35.27592799978752</v>
      </c>
    </row>
    <row r="23" spans="1:11" ht="15" customHeight="1" x14ac:dyDescent="0.25">
      <c r="A23" s="388" t="s">
        <v>390</v>
      </c>
      <c r="B23" s="389">
        <v>0.17861866671104346</v>
      </c>
      <c r="C23" s="390">
        <v>9.0632352792705373E-2</v>
      </c>
      <c r="D23" s="390">
        <v>0.10934415398065274</v>
      </c>
      <c r="E23" s="390">
        <v>0.3222044014496982</v>
      </c>
      <c r="F23" s="390">
        <v>0.29570369546515046</v>
      </c>
      <c r="G23" s="391">
        <v>3.4967296007533573E-3</v>
      </c>
      <c r="I23" s="365"/>
      <c r="J23" s="387">
        <f t="shared" si="0"/>
        <v>29.601995261024189</v>
      </c>
      <c r="K23" s="387">
        <f t="shared" si="1"/>
        <v>32.220440144969821</v>
      </c>
    </row>
    <row r="24" spans="1:11" ht="15" customHeight="1" x14ac:dyDescent="0.25">
      <c r="A24" s="388" t="s">
        <v>391</v>
      </c>
      <c r="B24" s="389">
        <v>0.15674346396724084</v>
      </c>
      <c r="C24" s="390">
        <v>0.10025638063671768</v>
      </c>
      <c r="D24" s="390">
        <v>0.10598745217551001</v>
      </c>
      <c r="E24" s="390">
        <v>0.31465374085856962</v>
      </c>
      <c r="F24" s="390">
        <v>0.32235896236196532</v>
      </c>
      <c r="G24" s="392">
        <v>0</v>
      </c>
      <c r="I24" s="365"/>
      <c r="J24" s="387">
        <f t="shared" si="0"/>
        <v>29.06902657944347</v>
      </c>
      <c r="K24" s="387">
        <f t="shared" si="1"/>
        <v>31.465374085856961</v>
      </c>
    </row>
    <row r="25" spans="1:11" ht="15" customHeight="1" x14ac:dyDescent="0.25">
      <c r="A25" s="388" t="s">
        <v>392</v>
      </c>
      <c r="B25" s="389">
        <v>0.14507081599161514</v>
      </c>
      <c r="C25" s="390">
        <v>9.7947107682096343E-2</v>
      </c>
      <c r="D25" s="390">
        <v>0.13578663597395024</v>
      </c>
      <c r="E25" s="390">
        <v>0.29487180324040324</v>
      </c>
      <c r="F25" s="390">
        <v>0.32632363711193851</v>
      </c>
      <c r="G25" s="392">
        <v>0</v>
      </c>
      <c r="I25" s="365"/>
      <c r="J25" s="387">
        <f t="shared" si="0"/>
        <v>27.726102139535534</v>
      </c>
      <c r="K25" s="387">
        <f t="shared" si="1"/>
        <v>29.487180324040324</v>
      </c>
    </row>
    <row r="26" spans="1:11" ht="15" customHeight="1" x14ac:dyDescent="0.25">
      <c r="A26" s="388" t="s">
        <v>393</v>
      </c>
      <c r="B26" s="389">
        <v>0.13135068699301039</v>
      </c>
      <c r="C26" s="390">
        <v>9.6958458943824766E-2</v>
      </c>
      <c r="D26" s="390">
        <v>0.14875924708421781</v>
      </c>
      <c r="E26" s="390">
        <v>0.27943829875529391</v>
      </c>
      <c r="F26" s="390">
        <v>0.34349330822365659</v>
      </c>
      <c r="G26" s="392">
        <v>0</v>
      </c>
      <c r="I26" s="365"/>
      <c r="J26" s="387">
        <f t="shared" si="0"/>
        <v>27.89151876486946</v>
      </c>
      <c r="K26" s="387">
        <f t="shared" si="1"/>
        <v>27.943829875529392</v>
      </c>
    </row>
    <row r="27" spans="1:11" ht="15" customHeight="1" x14ac:dyDescent="0.25">
      <c r="A27" s="388" t="s">
        <v>394</v>
      </c>
      <c r="B27" s="389">
        <v>0.12590607467011991</v>
      </c>
      <c r="C27" s="390">
        <v>0.10264516068307243</v>
      </c>
      <c r="D27" s="390">
        <v>0.13196529327412221</v>
      </c>
      <c r="E27" s="390">
        <v>0.28661679728675549</v>
      </c>
      <c r="F27" s="390">
        <v>0.35286667408593347</v>
      </c>
      <c r="G27" s="392">
        <v>0</v>
      </c>
      <c r="I27" s="365"/>
      <c r="J27" s="387">
        <f t="shared" si="0"/>
        <v>26.611724516968582</v>
      </c>
      <c r="K27" s="387">
        <f t="shared" si="1"/>
        <v>28.661679728675548</v>
      </c>
    </row>
    <row r="28" spans="1:11" ht="15" customHeight="1" x14ac:dyDescent="0.25">
      <c r="A28" s="388" t="s">
        <v>395</v>
      </c>
      <c r="B28" s="389">
        <v>0.12477095709801388</v>
      </c>
      <c r="C28" s="390">
        <v>0.10994609361886001</v>
      </c>
      <c r="D28" s="390">
        <v>0.14238894734996588</v>
      </c>
      <c r="E28" s="390">
        <v>0.27521079396334064</v>
      </c>
      <c r="F28" s="390">
        <v>0.3476832079698231</v>
      </c>
      <c r="G28" s="392">
        <v>0</v>
      </c>
      <c r="I28" s="365">
        <v>4</v>
      </c>
      <c r="J28" s="387">
        <f t="shared" si="0"/>
        <v>24.609340182567564</v>
      </c>
      <c r="K28" s="387">
        <f t="shared" si="1"/>
        <v>27.521079396334063</v>
      </c>
    </row>
    <row r="29" spans="1:11" ht="15" customHeight="1" x14ac:dyDescent="0.25">
      <c r="A29" s="388" t="s">
        <v>396</v>
      </c>
      <c r="B29" s="389">
        <v>0.1122611505164596</v>
      </c>
      <c r="C29" s="390">
        <v>0.10333361232857577</v>
      </c>
      <c r="D29" s="390">
        <v>0.17790677755570372</v>
      </c>
      <c r="E29" s="390">
        <v>0.25920912725447026</v>
      </c>
      <c r="F29" s="390">
        <v>0.34572193740541612</v>
      </c>
      <c r="G29" s="391">
        <v>1.5673949393779809E-3</v>
      </c>
      <c r="I29" s="365"/>
      <c r="J29" s="387">
        <f t="shared" si="0"/>
        <v>21.121824619673362</v>
      </c>
      <c r="K29" s="387">
        <f t="shared" si="1"/>
        <v>25.920912725447025</v>
      </c>
    </row>
    <row r="30" spans="1:11" ht="15" customHeight="1" x14ac:dyDescent="0.25">
      <c r="A30" s="388" t="s">
        <v>397</v>
      </c>
      <c r="B30" s="389">
        <v>9.2451849044540582E-2</v>
      </c>
      <c r="C30" s="390">
        <v>0.11446217843892319</v>
      </c>
      <c r="D30" s="390">
        <v>0.18545512390903204</v>
      </c>
      <c r="E30" s="390">
        <v>0.24507997004086285</v>
      </c>
      <c r="F30" s="390">
        <v>0.3561937510663612</v>
      </c>
      <c r="G30" s="391">
        <v>6.3571275002836485E-3</v>
      </c>
      <c r="I30" s="365"/>
      <c r="J30" s="387">
        <f t="shared" si="0"/>
        <v>21.698921832354252</v>
      </c>
      <c r="K30" s="387">
        <f t="shared" si="1"/>
        <v>24.507997004086285</v>
      </c>
    </row>
    <row r="31" spans="1:11" ht="15" customHeight="1" x14ac:dyDescent="0.25">
      <c r="A31" s="388" t="s">
        <v>398</v>
      </c>
      <c r="B31" s="389">
        <v>7.7346033345909046E-2</v>
      </c>
      <c r="C31" s="390">
        <v>0.10862467847004653</v>
      </c>
      <c r="D31" s="390">
        <v>0.20055539166607766</v>
      </c>
      <c r="E31" s="390">
        <v>0.25058023334391782</v>
      </c>
      <c r="F31" s="390">
        <v>0.36289366317405258</v>
      </c>
      <c r="G31" s="392">
        <v>0</v>
      </c>
      <c r="I31" s="365"/>
      <c r="J31" s="387">
        <f t="shared" si="0"/>
        <v>18.920948400119528</v>
      </c>
      <c r="K31" s="387">
        <f t="shared" si="1"/>
        <v>25.058023334391784</v>
      </c>
    </row>
    <row r="32" spans="1:11" ht="15" customHeight="1" x14ac:dyDescent="0.25">
      <c r="A32" s="388" t="s">
        <v>399</v>
      </c>
      <c r="B32" s="389">
        <v>6.0052013845376374E-2</v>
      </c>
      <c r="C32" s="390">
        <v>0.1094496002416431</v>
      </c>
      <c r="D32" s="390">
        <v>0.23242881034639398</v>
      </c>
      <c r="E32" s="390">
        <v>0.24739512292541474</v>
      </c>
      <c r="F32" s="390">
        <v>0.35067445264117558</v>
      </c>
      <c r="G32" s="392">
        <v>0</v>
      </c>
      <c r="I32" s="365"/>
      <c r="J32" s="387">
        <f t="shared" si="0"/>
        <v>19.283965805756758</v>
      </c>
      <c r="K32" s="387">
        <f t="shared" si="1"/>
        <v>24.739512292541473</v>
      </c>
    </row>
    <row r="33" spans="1:11" ht="15" customHeight="1" x14ac:dyDescent="0.25">
      <c r="A33" s="388" t="s">
        <v>400</v>
      </c>
      <c r="B33" s="389">
        <v>5.6991103873527189E-2</v>
      </c>
      <c r="C33" s="390">
        <v>9.0052473552182252E-2</v>
      </c>
      <c r="D33" s="390">
        <v>0.25340326106378219</v>
      </c>
      <c r="E33" s="390">
        <v>0.2539192549309458</v>
      </c>
      <c r="F33" s="390">
        <v>0.34563390657956605</v>
      </c>
      <c r="G33" s="392">
        <v>0</v>
      </c>
      <c r="I33" s="365"/>
      <c r="J33" s="387">
        <f t="shared" si="0"/>
        <v>20.007919460083613</v>
      </c>
      <c r="K33" s="387">
        <f t="shared" si="1"/>
        <v>25.391925493094579</v>
      </c>
    </row>
    <row r="34" spans="1:11" ht="15" customHeight="1" x14ac:dyDescent="0.25">
      <c r="A34" s="388" t="s">
        <v>401</v>
      </c>
      <c r="B34" s="389">
        <v>4.767452778833501E-2</v>
      </c>
      <c r="C34" s="390">
        <v>8.4833933650752702E-2</v>
      </c>
      <c r="D34" s="390">
        <v>0.27077090277911164</v>
      </c>
      <c r="E34" s="390">
        <v>0.25362468755201739</v>
      </c>
      <c r="F34" s="390">
        <v>0.34309594822978684</v>
      </c>
      <c r="G34" s="392">
        <v>0</v>
      </c>
      <c r="I34" s="365">
        <v>5</v>
      </c>
      <c r="J34" s="387">
        <f t="shared" si="0"/>
        <v>18.380172340730024</v>
      </c>
      <c r="K34" s="387">
        <f t="shared" si="1"/>
        <v>25.362468755201739</v>
      </c>
    </row>
    <row r="35" spans="1:11" ht="15" customHeight="1" x14ac:dyDescent="0.25">
      <c r="A35" s="388" t="s">
        <v>402</v>
      </c>
      <c r="B35" s="389">
        <v>3.7638379489005121E-2</v>
      </c>
      <c r="C35" s="390">
        <v>8.0936282061084719E-2</v>
      </c>
      <c r="D35" s="390">
        <v>0.30144143343835234</v>
      </c>
      <c r="E35" s="390">
        <v>0.22314443460542224</v>
      </c>
      <c r="F35" s="390">
        <v>0.35434948293268304</v>
      </c>
      <c r="G35" s="391">
        <v>2.4899874734559363E-3</v>
      </c>
      <c r="I35" s="365"/>
      <c r="J35" s="387">
        <f t="shared" si="0"/>
        <v>18.550639197855034</v>
      </c>
      <c r="K35" s="387">
        <f t="shared" si="1"/>
        <v>22.314443460542225</v>
      </c>
    </row>
    <row r="36" spans="1:11" ht="15" customHeight="1" x14ac:dyDescent="0.25">
      <c r="A36" s="388" t="s">
        <v>403</v>
      </c>
      <c r="B36" s="389">
        <v>3.0937302824163435E-2</v>
      </c>
      <c r="C36" s="390">
        <v>6.7049358788672964E-2</v>
      </c>
      <c r="D36" s="390">
        <v>0.32542124846009257</v>
      </c>
      <c r="E36" s="390">
        <v>0.20877479528420356</v>
      </c>
      <c r="F36" s="390">
        <v>0.36532730716941508</v>
      </c>
      <c r="G36" s="391">
        <v>2.4899874734559363E-3</v>
      </c>
      <c r="I36" s="365"/>
      <c r="J36" s="387">
        <f t="shared" si="0"/>
        <v>19.965536694807398</v>
      </c>
      <c r="K36" s="387">
        <f t="shared" si="1"/>
        <v>20.877479528420356</v>
      </c>
    </row>
    <row r="37" spans="1:11" ht="15" customHeight="1" x14ac:dyDescent="0.25">
      <c r="A37" s="388" t="s">
        <v>404</v>
      </c>
      <c r="B37" s="389">
        <v>3.618923692956668E-2</v>
      </c>
      <c r="C37" s="390">
        <v>4.6301778744579837E-2</v>
      </c>
      <c r="D37" s="390">
        <v>0.34117247397006412</v>
      </c>
      <c r="E37" s="390">
        <v>0.20189703112279672</v>
      </c>
      <c r="F37" s="390">
        <v>0.36888009849915421</v>
      </c>
      <c r="G37" s="391">
        <v>5.5593807338421043E-3</v>
      </c>
      <c r="I37" s="365"/>
      <c r="J37" s="387">
        <f t="shared" si="0"/>
        <v>19.63070939522801</v>
      </c>
      <c r="K37" s="387">
        <f t="shared" si="1"/>
        <v>20.189703112279673</v>
      </c>
    </row>
    <row r="38" spans="1:11" ht="15" customHeight="1" x14ac:dyDescent="0.25">
      <c r="A38" s="388" t="s">
        <v>405</v>
      </c>
      <c r="B38" s="389">
        <v>2.9818035993066802E-2</v>
      </c>
      <c r="C38" s="390">
        <v>3.9222847172540966E-2</v>
      </c>
      <c r="D38" s="390">
        <v>0.38272010310930199</v>
      </c>
      <c r="E38" s="390">
        <v>0.19846385166806296</v>
      </c>
      <c r="F38" s="390">
        <v>0.34243117530287909</v>
      </c>
      <c r="G38" s="391">
        <v>7.3439867541517708E-3</v>
      </c>
      <c r="I38" s="365"/>
      <c r="J38" s="387">
        <f t="shared" si="0"/>
        <v>18.859418394556453</v>
      </c>
      <c r="K38" s="387">
        <f t="shared" si="1"/>
        <v>19.846385166806296</v>
      </c>
    </row>
    <row r="39" spans="1:11" ht="15" customHeight="1" x14ac:dyDescent="0.25">
      <c r="A39" s="388" t="s">
        <v>406</v>
      </c>
      <c r="B39" s="389">
        <v>1.7656763267465621E-2</v>
      </c>
      <c r="C39" s="390">
        <v>5.2108773642268374E-2</v>
      </c>
      <c r="D39" s="390">
        <v>0.39982210100728877</v>
      </c>
      <c r="E39" s="390">
        <v>0.18258356148403179</v>
      </c>
      <c r="F39" s="390">
        <v>0.34048481384479712</v>
      </c>
      <c r="G39" s="391">
        <v>7.3439867541517708E-3</v>
      </c>
      <c r="I39" s="365"/>
      <c r="J39" s="387">
        <f t="shared" si="0"/>
        <v>18.013286441282293</v>
      </c>
      <c r="K39" s="387">
        <f t="shared" si="1"/>
        <v>18.25835614840318</v>
      </c>
    </row>
    <row r="40" spans="1:11" ht="15" customHeight="1" thickBot="1" x14ac:dyDescent="0.3">
      <c r="A40" s="393" t="s">
        <v>407</v>
      </c>
      <c r="B40" s="394">
        <v>1.8743180342609876E-2</v>
      </c>
      <c r="C40" s="395">
        <v>4.6886542433092468E-2</v>
      </c>
      <c r="D40" s="395">
        <v>0.42931948382111701</v>
      </c>
      <c r="E40" s="395">
        <v>0.16791658935248727</v>
      </c>
      <c r="F40" s="395">
        <v>0.33494816443928355</v>
      </c>
      <c r="G40" s="396">
        <v>2.1860396114134805E-3</v>
      </c>
      <c r="I40" s="365">
        <v>6</v>
      </c>
      <c r="J40" s="387">
        <f t="shared" si="0"/>
        <v>16.880496460845475</v>
      </c>
      <c r="K40" s="387">
        <f t="shared" si="1"/>
        <v>16.791658935248726</v>
      </c>
    </row>
    <row r="41" spans="1:11" ht="15.75" thickTop="1" x14ac:dyDescent="0.25"/>
    <row r="43" spans="1:11" ht="18" customHeight="1" thickBot="1" x14ac:dyDescent="0.3">
      <c r="A43" s="1430" t="s">
        <v>408</v>
      </c>
      <c r="B43" s="1430"/>
      <c r="C43" s="1430"/>
      <c r="D43" s="1430"/>
      <c r="E43" s="1430"/>
      <c r="F43" s="1430"/>
      <c r="G43" s="1430"/>
    </row>
    <row r="44" spans="1:11" ht="69.95" customHeight="1" thickTop="1" x14ac:dyDescent="0.25">
      <c r="A44" s="1428"/>
      <c r="B44" s="376" t="s">
        <v>367</v>
      </c>
      <c r="C44" s="377" t="s">
        <v>412</v>
      </c>
      <c r="D44" s="377" t="s">
        <v>414</v>
      </c>
      <c r="E44" s="377" t="s">
        <v>368</v>
      </c>
      <c r="F44" s="377" t="s">
        <v>369</v>
      </c>
      <c r="G44" s="378" t="s">
        <v>370</v>
      </c>
    </row>
    <row r="45" spans="1:11" ht="15" customHeight="1" thickBot="1" x14ac:dyDescent="0.3">
      <c r="A45" s="1429"/>
      <c r="B45" s="379" t="s">
        <v>371</v>
      </c>
      <c r="C45" s="380" t="s">
        <v>371</v>
      </c>
      <c r="D45" s="380" t="s">
        <v>371</v>
      </c>
      <c r="E45" s="380" t="s">
        <v>371</v>
      </c>
      <c r="F45" s="380" t="s">
        <v>371</v>
      </c>
      <c r="G45" s="381" t="s">
        <v>371</v>
      </c>
    </row>
    <row r="46" spans="1:11" ht="15" customHeight="1" thickTop="1" x14ac:dyDescent="0.25">
      <c r="A46" s="383" t="s">
        <v>372</v>
      </c>
      <c r="B46" s="384">
        <v>0.33224875672515736</v>
      </c>
      <c r="C46" s="385">
        <v>0.14687028556749596</v>
      </c>
      <c r="D46" s="385">
        <v>0.39072582264717054</v>
      </c>
      <c r="E46" s="385">
        <v>0.12559603860031782</v>
      </c>
      <c r="F46" s="397">
        <v>4.5590964598556643E-3</v>
      </c>
      <c r="G46" s="398">
        <v>0</v>
      </c>
    </row>
    <row r="47" spans="1:11" ht="15" customHeight="1" x14ac:dyDescent="0.25">
      <c r="A47" s="388" t="s">
        <v>373</v>
      </c>
      <c r="B47" s="389">
        <v>0.34568035780935474</v>
      </c>
      <c r="C47" s="390">
        <v>0.2742000957130209</v>
      </c>
      <c r="D47" s="390">
        <v>0.22589376470646447</v>
      </c>
      <c r="E47" s="390">
        <v>0.14966668531130134</v>
      </c>
      <c r="F47" s="399">
        <v>4.5590964598556643E-3</v>
      </c>
      <c r="G47" s="392">
        <v>0</v>
      </c>
    </row>
    <row r="48" spans="1:11" ht="15" customHeight="1" x14ac:dyDescent="0.25">
      <c r="A48" s="388" t="s">
        <v>374</v>
      </c>
      <c r="B48" s="389">
        <v>0.36212359436087022</v>
      </c>
      <c r="C48" s="390">
        <v>0.34956860421699537</v>
      </c>
      <c r="D48" s="390">
        <v>9.8021294351450017E-2</v>
      </c>
      <c r="E48" s="390">
        <v>0.18390296232808886</v>
      </c>
      <c r="F48" s="399">
        <v>6.3835447425925011E-3</v>
      </c>
      <c r="G48" s="392">
        <v>0</v>
      </c>
    </row>
    <row r="49" spans="1:7" ht="15" customHeight="1" x14ac:dyDescent="0.25">
      <c r="A49" s="388" t="s">
        <v>375</v>
      </c>
      <c r="B49" s="389">
        <v>0.35557832142899243</v>
      </c>
      <c r="C49" s="390">
        <v>0.37057749743075669</v>
      </c>
      <c r="D49" s="390">
        <v>4.7658321581615919E-2</v>
      </c>
      <c r="E49" s="390">
        <v>0.20321311771013245</v>
      </c>
      <c r="F49" s="390">
        <v>2.297274184849964E-2</v>
      </c>
      <c r="G49" s="392">
        <v>0</v>
      </c>
    </row>
    <row r="50" spans="1:7" ht="15" customHeight="1" x14ac:dyDescent="0.25">
      <c r="A50" s="388" t="s">
        <v>376</v>
      </c>
      <c r="B50" s="389">
        <v>0.34917556828343765</v>
      </c>
      <c r="C50" s="390">
        <v>0.35765437945162609</v>
      </c>
      <c r="D50" s="390">
        <v>3.8373129390740064E-2</v>
      </c>
      <c r="E50" s="390">
        <v>0.23200549643262988</v>
      </c>
      <c r="F50" s="390">
        <v>2.2791426441563411E-2</v>
      </c>
      <c r="G50" s="392">
        <v>0</v>
      </c>
    </row>
    <row r="51" spans="1:7" ht="15" customHeight="1" x14ac:dyDescent="0.25">
      <c r="A51" s="388" t="s">
        <v>377</v>
      </c>
      <c r="B51" s="389">
        <v>0.32340524082190703</v>
      </c>
      <c r="C51" s="390">
        <v>0.34354115590049766</v>
      </c>
      <c r="D51" s="390">
        <v>4.5542662468983398E-2</v>
      </c>
      <c r="E51" s="390">
        <v>0.25910043335833849</v>
      </c>
      <c r="F51" s="390">
        <v>2.8410507450270406E-2</v>
      </c>
      <c r="G51" s="392">
        <v>0</v>
      </c>
    </row>
    <row r="52" spans="1:7" ht="15" customHeight="1" x14ac:dyDescent="0.25">
      <c r="A52" s="388" t="s">
        <v>378</v>
      </c>
      <c r="B52" s="389">
        <v>0.334523194341452</v>
      </c>
      <c r="C52" s="390">
        <v>0.29217271867150818</v>
      </c>
      <c r="D52" s="390">
        <v>6.5377404087980234E-2</v>
      </c>
      <c r="E52" s="390">
        <v>0.27103074591577564</v>
      </c>
      <c r="F52" s="390">
        <v>3.6895936983280975E-2</v>
      </c>
      <c r="G52" s="392">
        <v>0</v>
      </c>
    </row>
    <row r="53" spans="1:7" ht="15" customHeight="1" x14ac:dyDescent="0.25">
      <c r="A53" s="388" t="s">
        <v>379</v>
      </c>
      <c r="B53" s="389">
        <v>0.33853757809872398</v>
      </c>
      <c r="C53" s="390">
        <v>0.26845172470340506</v>
      </c>
      <c r="D53" s="390">
        <v>6.3189383251999992E-2</v>
      </c>
      <c r="E53" s="390">
        <v>0.29328182780753537</v>
      </c>
      <c r="F53" s="390">
        <v>3.653948613833273E-2</v>
      </c>
      <c r="G53" s="392">
        <v>0</v>
      </c>
    </row>
    <row r="54" spans="1:7" ht="15" customHeight="1" x14ac:dyDescent="0.25">
      <c r="A54" s="388" t="s">
        <v>380</v>
      </c>
      <c r="B54" s="389">
        <v>0.29219705341700158</v>
      </c>
      <c r="C54" s="390">
        <v>0.29144803274588654</v>
      </c>
      <c r="D54" s="390">
        <v>6.4322584039691932E-2</v>
      </c>
      <c r="E54" s="390">
        <v>0.29743393684967057</v>
      </c>
      <c r="F54" s="390">
        <v>5.207862778753828E-2</v>
      </c>
      <c r="G54" s="391">
        <v>2.519765160208283E-3</v>
      </c>
    </row>
    <row r="55" spans="1:7" ht="15" customHeight="1" x14ac:dyDescent="0.25">
      <c r="A55" s="388" t="s">
        <v>381</v>
      </c>
      <c r="B55" s="389">
        <v>0.28161677533331869</v>
      </c>
      <c r="C55" s="390">
        <v>0.27065353662768793</v>
      </c>
      <c r="D55" s="390">
        <v>4.6041744385311306E-2</v>
      </c>
      <c r="E55" s="390">
        <v>0.30326484217503069</v>
      </c>
      <c r="F55" s="390">
        <v>9.5903336318440377E-2</v>
      </c>
      <c r="G55" s="391">
        <v>2.519765160208283E-3</v>
      </c>
    </row>
    <row r="56" spans="1:7" ht="15" customHeight="1" x14ac:dyDescent="0.25">
      <c r="A56" s="388" t="s">
        <v>382</v>
      </c>
      <c r="B56" s="389">
        <v>0.29289911436064359</v>
      </c>
      <c r="C56" s="390">
        <v>0.23529891998756944</v>
      </c>
      <c r="D56" s="390">
        <v>3.9185443329553107E-2</v>
      </c>
      <c r="E56" s="390">
        <v>0.31742221941894511</v>
      </c>
      <c r="F56" s="390">
        <v>0.11519430290328589</v>
      </c>
      <c r="G56" s="392">
        <v>0</v>
      </c>
    </row>
    <row r="57" spans="1:7" ht="15" customHeight="1" x14ac:dyDescent="0.25">
      <c r="A57" s="388" t="s">
        <v>383</v>
      </c>
      <c r="B57" s="389">
        <v>0.32116712098942807</v>
      </c>
      <c r="C57" s="390">
        <v>0.18884395108176974</v>
      </c>
      <c r="D57" s="390">
        <v>4.2690224788067901E-2</v>
      </c>
      <c r="E57" s="390">
        <v>0.30655904290607638</v>
      </c>
      <c r="F57" s="390">
        <v>0.13368967789784819</v>
      </c>
      <c r="G57" s="391">
        <v>7.0499823368068279E-3</v>
      </c>
    </row>
    <row r="58" spans="1:7" ht="15" customHeight="1" x14ac:dyDescent="0.25">
      <c r="A58" s="388" t="s">
        <v>384</v>
      </c>
      <c r="B58" s="389">
        <v>0.31360360561982786</v>
      </c>
      <c r="C58" s="390">
        <v>0.1402737865151647</v>
      </c>
      <c r="D58" s="390">
        <v>4.2127375977619036E-2</v>
      </c>
      <c r="E58" s="390">
        <v>0.33916200930218321</v>
      </c>
      <c r="F58" s="390">
        <v>0.15778324024839538</v>
      </c>
      <c r="G58" s="391">
        <v>7.0499823368068279E-3</v>
      </c>
    </row>
    <row r="59" spans="1:7" ht="15" customHeight="1" x14ac:dyDescent="0.25">
      <c r="A59" s="388" t="s">
        <v>385</v>
      </c>
      <c r="B59" s="389">
        <v>0.30223784176830765</v>
      </c>
      <c r="C59" s="390">
        <v>0.11920317724732017</v>
      </c>
      <c r="D59" s="390">
        <v>6.3050527966970499E-2</v>
      </c>
      <c r="E59" s="390">
        <v>0.34602060017597547</v>
      </c>
      <c r="F59" s="390">
        <v>0.16699272610068192</v>
      </c>
      <c r="G59" s="391">
        <v>2.4951267407414242E-3</v>
      </c>
    </row>
    <row r="60" spans="1:7" ht="15" customHeight="1" x14ac:dyDescent="0.25">
      <c r="A60" s="388" t="s">
        <v>386</v>
      </c>
      <c r="B60" s="389">
        <v>0.30368821035262961</v>
      </c>
      <c r="C60" s="390">
        <v>8.5644726288436293E-2</v>
      </c>
      <c r="D60" s="390">
        <v>6.8043156395420148E-2</v>
      </c>
      <c r="E60" s="390">
        <v>0.36957157676700381</v>
      </c>
      <c r="F60" s="390">
        <v>0.16425143366919959</v>
      </c>
      <c r="G60" s="391">
        <v>8.8008965273078422E-3</v>
      </c>
    </row>
    <row r="61" spans="1:7" ht="15" customHeight="1" x14ac:dyDescent="0.25">
      <c r="A61" s="388" t="s">
        <v>387</v>
      </c>
      <c r="B61" s="389">
        <v>0.33774587854779653</v>
      </c>
      <c r="C61" s="390">
        <v>8.8057998968694054E-2</v>
      </c>
      <c r="D61" s="390">
        <v>5.9168762955192508E-2</v>
      </c>
      <c r="E61" s="390">
        <v>0.33209950271490568</v>
      </c>
      <c r="F61" s="390">
        <v>0.17412696028610047</v>
      </c>
      <c r="G61" s="391">
        <v>8.8008965273078422E-3</v>
      </c>
    </row>
    <row r="62" spans="1:7" ht="15" customHeight="1" x14ac:dyDescent="0.25">
      <c r="A62" s="388" t="s">
        <v>388</v>
      </c>
      <c r="B62" s="389">
        <v>0.34036225191772812</v>
      </c>
      <c r="C62" s="390">
        <v>7.3938494092795862E-2</v>
      </c>
      <c r="D62" s="390">
        <v>6.9594759384068033E-2</v>
      </c>
      <c r="E62" s="390">
        <v>0.32933836253826099</v>
      </c>
      <c r="F62" s="390">
        <v>0.18046036228057755</v>
      </c>
      <c r="G62" s="391">
        <v>6.3057697865664172E-3</v>
      </c>
    </row>
    <row r="63" spans="1:7" ht="15" customHeight="1" x14ac:dyDescent="0.25">
      <c r="A63" s="388" t="s">
        <v>389</v>
      </c>
      <c r="B63" s="389">
        <v>0.3506483187647792</v>
      </c>
      <c r="C63" s="390">
        <v>7.3716602460485003E-2</v>
      </c>
      <c r="D63" s="390">
        <v>5.8274531724936678E-2</v>
      </c>
      <c r="E63" s="390">
        <v>0.33543721675986732</v>
      </c>
      <c r="F63" s="390">
        <v>0.18192333028992902</v>
      </c>
      <c r="G63" s="392">
        <v>0</v>
      </c>
    </row>
    <row r="64" spans="1:7" ht="15" customHeight="1" x14ac:dyDescent="0.25">
      <c r="A64" s="388" t="s">
        <v>390</v>
      </c>
      <c r="B64" s="389">
        <v>0.32092441603501887</v>
      </c>
      <c r="C64" s="390">
        <v>8.3063260701964736E-2</v>
      </c>
      <c r="D64" s="390">
        <v>8.4460170580228977E-2</v>
      </c>
      <c r="E64" s="390">
        <v>0.29601995261024189</v>
      </c>
      <c r="F64" s="390">
        <v>0.21553220007254256</v>
      </c>
      <c r="G64" s="392">
        <v>0</v>
      </c>
    </row>
    <row r="65" spans="1:7" ht="15" customHeight="1" x14ac:dyDescent="0.25">
      <c r="A65" s="388" t="s">
        <v>391</v>
      </c>
      <c r="B65" s="389">
        <v>0.30135424787239395</v>
      </c>
      <c r="C65" s="390">
        <v>8.4374159287016498E-2</v>
      </c>
      <c r="D65" s="390">
        <v>9.535469697767894E-2</v>
      </c>
      <c r="E65" s="390">
        <v>0.29069026579443469</v>
      </c>
      <c r="F65" s="390">
        <v>0.22822663006847305</v>
      </c>
      <c r="G65" s="392">
        <v>0</v>
      </c>
    </row>
    <row r="66" spans="1:7" ht="15" customHeight="1" x14ac:dyDescent="0.25">
      <c r="A66" s="388" t="s">
        <v>392</v>
      </c>
      <c r="B66" s="389">
        <v>0.27971143102221913</v>
      </c>
      <c r="C66" s="390">
        <v>7.110044629608997E-2</v>
      </c>
      <c r="D66" s="390">
        <v>0.10886726120445556</v>
      </c>
      <c r="E66" s="390">
        <v>0.27726102139535536</v>
      </c>
      <c r="F66" s="390">
        <v>0.26305984008187722</v>
      </c>
      <c r="G66" s="392">
        <v>0</v>
      </c>
    </row>
    <row r="67" spans="1:7" ht="15" customHeight="1" x14ac:dyDescent="0.25">
      <c r="A67" s="388" t="s">
        <v>393</v>
      </c>
      <c r="B67" s="389">
        <v>0.29695396397110257</v>
      </c>
      <c r="C67" s="390">
        <v>6.8092339217690076E-2</v>
      </c>
      <c r="D67" s="390">
        <v>9.2830988769075709E-2</v>
      </c>
      <c r="E67" s="390">
        <v>0.27891518764869461</v>
      </c>
      <c r="F67" s="390">
        <v>0.26320752039343426</v>
      </c>
      <c r="G67" s="392">
        <v>0</v>
      </c>
    </row>
    <row r="68" spans="1:7" ht="15" customHeight="1" x14ac:dyDescent="0.25">
      <c r="A68" s="388" t="s">
        <v>394</v>
      </c>
      <c r="B68" s="389">
        <v>0.27495087557180414</v>
      </c>
      <c r="C68" s="390">
        <v>7.6541503174477291E-2</v>
      </c>
      <c r="D68" s="390">
        <v>0.11686286012435186</v>
      </c>
      <c r="E68" s="390">
        <v>0.26611724516968582</v>
      </c>
      <c r="F68" s="390">
        <v>0.26552751595967827</v>
      </c>
      <c r="G68" s="392">
        <v>0</v>
      </c>
    </row>
    <row r="69" spans="1:7" ht="15" customHeight="1" x14ac:dyDescent="0.25">
      <c r="A69" s="388" t="s">
        <v>395</v>
      </c>
      <c r="B69" s="389">
        <v>0.24436896703649669</v>
      </c>
      <c r="C69" s="390">
        <v>0.10449939495239276</v>
      </c>
      <c r="D69" s="390">
        <v>0.10839535563468068</v>
      </c>
      <c r="E69" s="390">
        <v>0.24609340182567563</v>
      </c>
      <c r="F69" s="390">
        <v>0.29664288055075161</v>
      </c>
      <c r="G69" s="392">
        <v>0</v>
      </c>
    </row>
    <row r="70" spans="1:7" ht="15" customHeight="1" x14ac:dyDescent="0.25">
      <c r="A70" s="388" t="s">
        <v>396</v>
      </c>
      <c r="B70" s="389">
        <v>0.2486402282429333</v>
      </c>
      <c r="C70" s="390">
        <v>9.9465129322496904E-2</v>
      </c>
      <c r="D70" s="390">
        <v>0.12120901573780954</v>
      </c>
      <c r="E70" s="390">
        <v>0.21121824619673363</v>
      </c>
      <c r="F70" s="390">
        <v>0.31831280573433651</v>
      </c>
      <c r="G70" s="391">
        <v>1.1545747656876483E-3</v>
      </c>
    </row>
    <row r="71" spans="1:7" ht="15" customHeight="1" x14ac:dyDescent="0.25">
      <c r="A71" s="388" t="s">
        <v>397</v>
      </c>
      <c r="B71" s="389">
        <v>0.22774830385414593</v>
      </c>
      <c r="C71" s="390">
        <v>0.11247246903815722</v>
      </c>
      <c r="D71" s="390">
        <v>0.13332725965747963</v>
      </c>
      <c r="E71" s="390">
        <v>0.21698921832354251</v>
      </c>
      <c r="F71" s="390">
        <v>0.30830817436098451</v>
      </c>
      <c r="G71" s="391">
        <v>1.1545747656876483E-3</v>
      </c>
    </row>
    <row r="72" spans="1:7" ht="15" customHeight="1" x14ac:dyDescent="0.25">
      <c r="A72" s="388" t="s">
        <v>398</v>
      </c>
      <c r="B72" s="389">
        <v>0.24133878736505662</v>
      </c>
      <c r="C72" s="390">
        <v>0.10697954046118893</v>
      </c>
      <c r="D72" s="390">
        <v>0.14892715818969851</v>
      </c>
      <c r="E72" s="390">
        <v>0.18920948400119528</v>
      </c>
      <c r="F72" s="390">
        <v>0.31239045521717057</v>
      </c>
      <c r="G72" s="391">
        <v>1.1545747656876483E-3</v>
      </c>
    </row>
    <row r="73" spans="1:7" ht="15" customHeight="1" x14ac:dyDescent="0.25">
      <c r="A73" s="388" t="s">
        <v>399</v>
      </c>
      <c r="B73" s="389">
        <v>0.19263738449617587</v>
      </c>
      <c r="C73" s="390">
        <v>0.10619737048975547</v>
      </c>
      <c r="D73" s="390">
        <v>0.16880038528077881</v>
      </c>
      <c r="E73" s="390">
        <v>0.19283965805756759</v>
      </c>
      <c r="F73" s="390">
        <v>0.33837062691003195</v>
      </c>
      <c r="G73" s="391">
        <v>1.1545747656876483E-3</v>
      </c>
    </row>
    <row r="74" spans="1:7" ht="15" customHeight="1" x14ac:dyDescent="0.25">
      <c r="A74" s="388" t="s">
        <v>400</v>
      </c>
      <c r="B74" s="389">
        <v>0.17831165999939969</v>
      </c>
      <c r="C74" s="390">
        <v>7.5163821852452878E-2</v>
      </c>
      <c r="D74" s="390">
        <v>0.18948457395221319</v>
      </c>
      <c r="E74" s="390">
        <v>0.20007919460083612</v>
      </c>
      <c r="F74" s="390">
        <v>0.3558061748294078</v>
      </c>
      <c r="G74" s="391">
        <v>1.1545747656876483E-3</v>
      </c>
    </row>
    <row r="75" spans="1:7" ht="15" customHeight="1" x14ac:dyDescent="0.25">
      <c r="A75" s="388" t="s">
        <v>401</v>
      </c>
      <c r="B75" s="389">
        <v>0.1723039195865293</v>
      </c>
      <c r="C75" s="390">
        <v>6.6010919504837007E-2</v>
      </c>
      <c r="D75" s="390">
        <v>0.20639265176791041</v>
      </c>
      <c r="E75" s="390">
        <v>0.18380172340730025</v>
      </c>
      <c r="F75" s="390">
        <v>0.37033621096773289</v>
      </c>
      <c r="G75" s="391">
        <v>1.1545747656876483E-3</v>
      </c>
    </row>
    <row r="76" spans="1:7" ht="15" customHeight="1" x14ac:dyDescent="0.25">
      <c r="A76" s="388" t="s">
        <v>402</v>
      </c>
      <c r="B76" s="389">
        <v>0.13461758505458329</v>
      </c>
      <c r="C76" s="390">
        <v>5.4956738256630416E-2</v>
      </c>
      <c r="D76" s="390">
        <v>0.23362794742174253</v>
      </c>
      <c r="E76" s="390">
        <v>0.18550639197855034</v>
      </c>
      <c r="F76" s="390">
        <v>0.39129133728849086</v>
      </c>
      <c r="G76" s="392">
        <v>0</v>
      </c>
    </row>
    <row r="77" spans="1:7" ht="15" customHeight="1" x14ac:dyDescent="0.25">
      <c r="A77" s="388" t="s">
        <v>403</v>
      </c>
      <c r="B77" s="389">
        <v>0.13041123843969768</v>
      </c>
      <c r="C77" s="390">
        <v>4.3519098884493033E-2</v>
      </c>
      <c r="D77" s="390">
        <v>0.223692608645082</v>
      </c>
      <c r="E77" s="390">
        <v>0.19965536694807398</v>
      </c>
      <c r="F77" s="390">
        <v>0.40272168708265083</v>
      </c>
      <c r="G77" s="392">
        <v>0</v>
      </c>
    </row>
    <row r="78" spans="1:7" ht="15" customHeight="1" x14ac:dyDescent="0.25">
      <c r="A78" s="388" t="s">
        <v>404</v>
      </c>
      <c r="B78" s="389">
        <v>0.1270835017190356</v>
      </c>
      <c r="C78" s="390">
        <v>2.8465327449364222E-2</v>
      </c>
      <c r="D78" s="390">
        <v>0.24059418485408396</v>
      </c>
      <c r="E78" s="390">
        <v>0.1963070939522801</v>
      </c>
      <c r="F78" s="390">
        <v>0.40754989202523345</v>
      </c>
      <c r="G78" s="392">
        <v>0</v>
      </c>
    </row>
    <row r="79" spans="1:7" ht="15" customHeight="1" x14ac:dyDescent="0.25">
      <c r="A79" s="388" t="s">
        <v>405</v>
      </c>
      <c r="B79" s="389">
        <v>0.11293536516839119</v>
      </c>
      <c r="C79" s="390">
        <v>2.8713226808050111E-2</v>
      </c>
      <c r="D79" s="390">
        <v>0.28071845717693811</v>
      </c>
      <c r="E79" s="390">
        <v>0.18859418394556454</v>
      </c>
      <c r="F79" s="390">
        <v>0.38544070746899706</v>
      </c>
      <c r="G79" s="391">
        <v>3.5980594320566437E-3</v>
      </c>
    </row>
    <row r="80" spans="1:7" ht="15" customHeight="1" x14ac:dyDescent="0.25">
      <c r="A80" s="388" t="s">
        <v>406</v>
      </c>
      <c r="B80" s="389">
        <v>9.4923416601201321E-2</v>
      </c>
      <c r="C80" s="390">
        <v>2.1401797399690312E-2</v>
      </c>
      <c r="D80" s="390">
        <v>0.3016904668511402</v>
      </c>
      <c r="E80" s="390">
        <v>0.18013286441282295</v>
      </c>
      <c r="F80" s="390">
        <v>0.39825339530308612</v>
      </c>
      <c r="G80" s="391">
        <v>3.5980594320566437E-3</v>
      </c>
    </row>
    <row r="81" spans="1:7" ht="15" customHeight="1" thickBot="1" x14ac:dyDescent="0.3">
      <c r="A81" s="393" t="s">
        <v>407</v>
      </c>
      <c r="B81" s="394">
        <v>6.2996933978770542E-2</v>
      </c>
      <c r="C81" s="395">
        <v>2.554749802438392E-2</v>
      </c>
      <c r="D81" s="395">
        <v>0.34579839804888268</v>
      </c>
      <c r="E81" s="395">
        <v>0.16880496460845473</v>
      </c>
      <c r="F81" s="395">
        <v>0.39325414590744884</v>
      </c>
      <c r="G81" s="396">
        <v>3.5980594320566437E-3</v>
      </c>
    </row>
  </sheetData>
  <mergeCells count="5">
    <mergeCell ref="A2:G2"/>
    <mergeCell ref="A3:A4"/>
    <mergeCell ref="M4:X5"/>
    <mergeCell ref="A43:G43"/>
    <mergeCell ref="A44:A45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X81"/>
  <sheetViews>
    <sheetView topLeftCell="L1" workbookViewId="0">
      <selection activeCell="M3" sqref="M3"/>
    </sheetView>
  </sheetViews>
  <sheetFormatPr defaultRowHeight="15" x14ac:dyDescent="0.25"/>
  <cols>
    <col min="1" max="1" width="6.85546875" style="339" customWidth="1"/>
    <col min="2" max="2" width="13.28515625" style="339" customWidth="1"/>
    <col min="3" max="3" width="10.7109375" style="339" customWidth="1"/>
    <col min="4" max="4" width="11.7109375" style="339" customWidth="1"/>
    <col min="5" max="5" width="11" style="339" customWidth="1"/>
    <col min="6" max="6" width="9" style="339" customWidth="1"/>
    <col min="7" max="7" width="10.7109375" style="339" customWidth="1"/>
    <col min="8" max="9" width="9.140625" style="339"/>
    <col min="10" max="10" width="12.7109375" style="339" customWidth="1"/>
    <col min="11" max="11" width="11.85546875" style="339" customWidth="1"/>
    <col min="12" max="16384" width="9.140625" style="339"/>
  </cols>
  <sheetData>
    <row r="2" spans="1:24" ht="18" customHeight="1" thickBot="1" x14ac:dyDescent="0.3">
      <c r="A2" s="1427" t="s">
        <v>366</v>
      </c>
      <c r="B2" s="1427"/>
      <c r="C2" s="1427"/>
      <c r="D2" s="1427"/>
      <c r="E2" s="1427"/>
      <c r="F2" s="1427"/>
      <c r="G2" s="1427"/>
    </row>
    <row r="3" spans="1:24" ht="69.95" customHeight="1" thickTop="1" x14ac:dyDescent="0.25">
      <c r="A3" s="1428"/>
      <c r="B3" s="376" t="s">
        <v>367</v>
      </c>
      <c r="C3" s="377" t="s">
        <v>412</v>
      </c>
      <c r="D3" s="377" t="s">
        <v>413</v>
      </c>
      <c r="E3" s="377" t="s">
        <v>368</v>
      </c>
      <c r="F3" s="377" t="s">
        <v>369</v>
      </c>
      <c r="G3" s="378" t="s">
        <v>370</v>
      </c>
    </row>
    <row r="4" spans="1:24" ht="15" customHeight="1" thickBot="1" x14ac:dyDescent="0.3">
      <c r="A4" s="1429"/>
      <c r="B4" s="379" t="s">
        <v>371</v>
      </c>
      <c r="C4" s="380" t="s">
        <v>371</v>
      </c>
      <c r="D4" s="380" t="s">
        <v>371</v>
      </c>
      <c r="E4" s="380" t="s">
        <v>371</v>
      </c>
      <c r="F4" s="380" t="s">
        <v>371</v>
      </c>
      <c r="G4" s="381" t="s">
        <v>371</v>
      </c>
      <c r="I4" s="365"/>
      <c r="J4" s="382" t="s">
        <v>11</v>
      </c>
      <c r="K4" s="382" t="s">
        <v>12</v>
      </c>
      <c r="M4" s="1431" t="s">
        <v>480</v>
      </c>
      <c r="N4" s="1431"/>
      <c r="O4" s="1431"/>
      <c r="P4" s="1431"/>
      <c r="Q4" s="1431"/>
      <c r="R4" s="1431"/>
      <c r="S4" s="1431"/>
      <c r="T4" s="1431"/>
      <c r="U4" s="1431"/>
      <c r="V4" s="1431"/>
      <c r="W4" s="1431"/>
      <c r="X4" s="1431"/>
    </row>
    <row r="5" spans="1:24" ht="17.25" customHeight="1" thickTop="1" x14ac:dyDescent="0.25">
      <c r="A5" s="383" t="s">
        <v>372</v>
      </c>
      <c r="B5" s="384">
        <v>0.20697093576563166</v>
      </c>
      <c r="C5" s="385">
        <v>0.18617003394687073</v>
      </c>
      <c r="D5" s="385">
        <v>0.41323811300230884</v>
      </c>
      <c r="E5" s="385">
        <v>0.16860084247598578</v>
      </c>
      <c r="F5" s="385">
        <v>2.1789134535116064E-2</v>
      </c>
      <c r="G5" s="386">
        <v>3.2309402740907027E-3</v>
      </c>
      <c r="I5" s="365"/>
      <c r="J5" s="387">
        <f>F46*100</f>
        <v>0.45590964598556644</v>
      </c>
      <c r="K5" s="387">
        <f>F5*100</f>
        <v>2.1789134535116066</v>
      </c>
      <c r="M5" s="1431"/>
      <c r="N5" s="1431"/>
      <c r="O5" s="1431"/>
      <c r="P5" s="1431"/>
      <c r="Q5" s="1431"/>
      <c r="R5" s="1431"/>
      <c r="S5" s="1431"/>
      <c r="T5" s="1431"/>
      <c r="U5" s="1431"/>
      <c r="V5" s="1431"/>
      <c r="W5" s="1431"/>
      <c r="X5" s="1431"/>
    </row>
    <row r="6" spans="1:24" ht="15" customHeight="1" x14ac:dyDescent="0.25">
      <c r="A6" s="388" t="s">
        <v>373</v>
      </c>
      <c r="B6" s="389">
        <v>0.21245320834594569</v>
      </c>
      <c r="C6" s="390">
        <v>0.29028067416471881</v>
      </c>
      <c r="D6" s="390">
        <v>0.2698908037332437</v>
      </c>
      <c r="E6" s="390">
        <v>0.19861855358396499</v>
      </c>
      <c r="F6" s="390">
        <v>2.5525819898039915E-2</v>
      </c>
      <c r="G6" s="391">
        <v>3.2309402740907027E-3</v>
      </c>
      <c r="I6" s="365"/>
      <c r="J6" s="387">
        <f t="shared" ref="J6:J40" si="0">F47*100</f>
        <v>0.45590964598556644</v>
      </c>
      <c r="K6" s="387">
        <f t="shared" ref="K6:K40" si="1">F6*100</f>
        <v>2.5525819898039916</v>
      </c>
    </row>
    <row r="7" spans="1:24" ht="15" customHeight="1" x14ac:dyDescent="0.25">
      <c r="A7" s="388" t="s">
        <v>374</v>
      </c>
      <c r="B7" s="389">
        <v>0.17693885561980402</v>
      </c>
      <c r="C7" s="390">
        <v>0.4011562605544019</v>
      </c>
      <c r="D7" s="390">
        <v>0.16464264922815025</v>
      </c>
      <c r="E7" s="390">
        <v>0.22923830658568797</v>
      </c>
      <c r="F7" s="390">
        <v>2.8023928011959708E-2</v>
      </c>
      <c r="G7" s="392">
        <v>0</v>
      </c>
      <c r="I7" s="365"/>
      <c r="J7" s="387">
        <f t="shared" si="0"/>
        <v>0.63835447425925007</v>
      </c>
      <c r="K7" s="387">
        <f t="shared" si="1"/>
        <v>2.8023928011959707</v>
      </c>
    </row>
    <row r="8" spans="1:24" ht="15" customHeight="1" x14ac:dyDescent="0.25">
      <c r="A8" s="388" t="s">
        <v>375</v>
      </c>
      <c r="B8" s="389">
        <v>0.15346043702323034</v>
      </c>
      <c r="C8" s="390">
        <v>0.44072426743327214</v>
      </c>
      <c r="D8" s="390">
        <v>9.2008759851099936E-2</v>
      </c>
      <c r="E8" s="390">
        <v>0.27147086531332904</v>
      </c>
      <c r="F8" s="390">
        <v>4.1418550703090216E-2</v>
      </c>
      <c r="G8" s="391">
        <v>9.1711967598198467E-4</v>
      </c>
      <c r="I8" s="365"/>
      <c r="J8" s="387">
        <f t="shared" si="0"/>
        <v>2.297274184849964</v>
      </c>
      <c r="K8" s="387">
        <f t="shared" si="1"/>
        <v>4.1418550703090213</v>
      </c>
    </row>
    <row r="9" spans="1:24" ht="15" customHeight="1" x14ac:dyDescent="0.25">
      <c r="A9" s="388" t="s">
        <v>376</v>
      </c>
      <c r="B9" s="389">
        <v>0.1382452133206446</v>
      </c>
      <c r="C9" s="390">
        <v>0.40327926029534877</v>
      </c>
      <c r="D9" s="390">
        <v>7.3184728517348835E-2</v>
      </c>
      <c r="E9" s="390">
        <v>0.31916416319970825</v>
      </c>
      <c r="F9" s="390">
        <v>6.0419782430065565E-2</v>
      </c>
      <c r="G9" s="391">
        <v>5.7068522368876502E-3</v>
      </c>
      <c r="I9" s="365"/>
      <c r="J9" s="387">
        <f t="shared" si="0"/>
        <v>2.2791426441563409</v>
      </c>
      <c r="K9" s="387">
        <f t="shared" si="1"/>
        <v>6.0419782430065565</v>
      </c>
    </row>
    <row r="10" spans="1:24" ht="15" customHeight="1" x14ac:dyDescent="0.25">
      <c r="A10" s="388" t="s">
        <v>377</v>
      </c>
      <c r="B10" s="389">
        <v>0.1358869387428614</v>
      </c>
      <c r="C10" s="390">
        <v>0.35813356510422628</v>
      </c>
      <c r="D10" s="390">
        <v>8.1709639402374079E-2</v>
      </c>
      <c r="E10" s="390">
        <v>0.35119604033282653</v>
      </c>
      <c r="F10" s="390">
        <v>7.2156696741733237E-2</v>
      </c>
      <c r="G10" s="391">
        <v>9.1711967598198467E-4</v>
      </c>
      <c r="I10" s="365">
        <v>1</v>
      </c>
      <c r="J10" s="387">
        <f t="shared" si="0"/>
        <v>2.8410507450270406</v>
      </c>
      <c r="K10" s="387">
        <f t="shared" si="1"/>
        <v>7.2156696741733235</v>
      </c>
    </row>
    <row r="11" spans="1:24" ht="15" customHeight="1" x14ac:dyDescent="0.25">
      <c r="A11" s="388" t="s">
        <v>378</v>
      </c>
      <c r="B11" s="389">
        <v>0.1487066443076823</v>
      </c>
      <c r="C11" s="390">
        <v>0.2786343292786162</v>
      </c>
      <c r="D11" s="390">
        <v>4.8614889238659885E-2</v>
      </c>
      <c r="E11" s="390">
        <v>0.42205475716122876</v>
      </c>
      <c r="F11" s="390">
        <v>0.10198938001381648</v>
      </c>
      <c r="G11" s="392">
        <v>0</v>
      </c>
      <c r="I11" s="365"/>
      <c r="J11" s="387">
        <f t="shared" si="0"/>
        <v>3.6895936983280975</v>
      </c>
      <c r="K11" s="387">
        <f t="shared" si="1"/>
        <v>10.198938001381649</v>
      </c>
    </row>
    <row r="12" spans="1:24" ht="15" customHeight="1" x14ac:dyDescent="0.25">
      <c r="A12" s="388" t="s">
        <v>379</v>
      </c>
      <c r="B12" s="389">
        <v>0.15764047869470016</v>
      </c>
      <c r="C12" s="390">
        <v>0.21206987420002382</v>
      </c>
      <c r="D12" s="390">
        <v>7.1614318545048294E-2</v>
      </c>
      <c r="E12" s="390">
        <v>0.43886209392793257</v>
      </c>
      <c r="F12" s="390">
        <v>0.11981323463229905</v>
      </c>
      <c r="G12" s="392">
        <v>0</v>
      </c>
      <c r="I12" s="365"/>
      <c r="J12" s="387">
        <f t="shared" si="0"/>
        <v>3.6539486138332729</v>
      </c>
      <c r="K12" s="387">
        <f t="shared" si="1"/>
        <v>11.981323463229906</v>
      </c>
    </row>
    <row r="13" spans="1:24" ht="15" customHeight="1" x14ac:dyDescent="0.25">
      <c r="A13" s="388" t="s">
        <v>380</v>
      </c>
      <c r="B13" s="389">
        <v>0.13768400551601215</v>
      </c>
      <c r="C13" s="390">
        <v>0.17928866089662443</v>
      </c>
      <c r="D13" s="390">
        <v>8.1885974382477772E-2</v>
      </c>
      <c r="E13" s="390">
        <v>0.46320271918881545</v>
      </c>
      <c r="F13" s="390">
        <v>0.137938640016074</v>
      </c>
      <c r="G13" s="392">
        <v>0</v>
      </c>
      <c r="I13" s="365"/>
      <c r="J13" s="387">
        <f t="shared" si="0"/>
        <v>5.2078627787538281</v>
      </c>
      <c r="K13" s="387">
        <f t="shared" si="1"/>
        <v>13.7938640016074</v>
      </c>
    </row>
    <row r="14" spans="1:24" ht="15" customHeight="1" x14ac:dyDescent="0.25">
      <c r="A14" s="388" t="s">
        <v>381</v>
      </c>
      <c r="B14" s="389">
        <v>0.15813975440560862</v>
      </c>
      <c r="C14" s="390">
        <v>0.14127648290126768</v>
      </c>
      <c r="D14" s="390">
        <v>7.1789892689549342E-2</v>
      </c>
      <c r="E14" s="390">
        <v>0.46390998907471703</v>
      </c>
      <c r="F14" s="390">
        <v>0.15938405485263143</v>
      </c>
      <c r="G14" s="391">
        <v>5.4998260762296799E-3</v>
      </c>
      <c r="I14" s="365"/>
      <c r="J14" s="387">
        <f t="shared" si="0"/>
        <v>9.5903336318440378</v>
      </c>
      <c r="K14" s="387">
        <f t="shared" si="1"/>
        <v>15.938405485263143</v>
      </c>
    </row>
    <row r="15" spans="1:24" ht="15" customHeight="1" x14ac:dyDescent="0.25">
      <c r="A15" s="388" t="s">
        <v>382</v>
      </c>
      <c r="B15" s="389">
        <v>0.14975137721980478</v>
      </c>
      <c r="C15" s="390">
        <v>0.15199058140625671</v>
      </c>
      <c r="D15" s="390">
        <v>7.1423988230101876E-2</v>
      </c>
      <c r="E15" s="390">
        <v>0.45046959545334431</v>
      </c>
      <c r="F15" s="390">
        <v>0.17086463161426649</v>
      </c>
      <c r="G15" s="391">
        <v>5.4998260762296799E-3</v>
      </c>
      <c r="I15" s="365"/>
      <c r="J15" s="387">
        <f t="shared" si="0"/>
        <v>11.519430290328589</v>
      </c>
      <c r="K15" s="387">
        <f t="shared" si="1"/>
        <v>17.08646316142665</v>
      </c>
    </row>
    <row r="16" spans="1:24" ht="15" customHeight="1" x14ac:dyDescent="0.25">
      <c r="A16" s="388" t="s">
        <v>383</v>
      </c>
      <c r="B16" s="389">
        <v>0.17111232942105142</v>
      </c>
      <c r="C16" s="390">
        <v>0.12954720197906255</v>
      </c>
      <c r="D16" s="390">
        <v>7.610183776547072E-2</v>
      </c>
      <c r="E16" s="390">
        <v>0.43960903251276867</v>
      </c>
      <c r="F16" s="390">
        <v>0.17812977224542073</v>
      </c>
      <c r="G16" s="391">
        <v>5.4998260762296799E-3</v>
      </c>
      <c r="I16" s="365">
        <v>2</v>
      </c>
      <c r="J16" s="387">
        <f t="shared" si="0"/>
        <v>13.368967789784818</v>
      </c>
      <c r="K16" s="387">
        <f t="shared" si="1"/>
        <v>17.812977224542074</v>
      </c>
    </row>
    <row r="17" spans="1:11" ht="15" customHeight="1" x14ac:dyDescent="0.25">
      <c r="A17" s="388" t="s">
        <v>384</v>
      </c>
      <c r="B17" s="389">
        <v>0.18083906355355911</v>
      </c>
      <c r="C17" s="390">
        <v>0.1253235577678278</v>
      </c>
      <c r="D17" s="390">
        <v>7.5796599653554217E-2</v>
      </c>
      <c r="E17" s="390">
        <v>0.40161778416518584</v>
      </c>
      <c r="F17" s="390">
        <v>0.20965236802322565</v>
      </c>
      <c r="G17" s="391">
        <v>6.7706268366510055E-3</v>
      </c>
      <c r="I17" s="365"/>
      <c r="J17" s="387">
        <f t="shared" si="0"/>
        <v>15.778324024839538</v>
      </c>
      <c r="K17" s="387">
        <f t="shared" si="1"/>
        <v>20.965236802322565</v>
      </c>
    </row>
    <row r="18" spans="1:11" ht="15" customHeight="1" x14ac:dyDescent="0.25">
      <c r="A18" s="388" t="s">
        <v>385</v>
      </c>
      <c r="B18" s="389">
        <v>0.17918304264490081</v>
      </c>
      <c r="C18" s="390">
        <v>0.12181619150378051</v>
      </c>
      <c r="D18" s="390">
        <v>6.9246212471114593E-2</v>
      </c>
      <c r="E18" s="390">
        <v>0.39862886380317603</v>
      </c>
      <c r="F18" s="390">
        <v>0.2219976209041766</v>
      </c>
      <c r="G18" s="391">
        <v>9.1280686728551115E-3</v>
      </c>
      <c r="I18" s="365"/>
      <c r="J18" s="387">
        <f t="shared" si="0"/>
        <v>16.699272610068192</v>
      </c>
      <c r="K18" s="387">
        <f t="shared" si="1"/>
        <v>22.199762090417661</v>
      </c>
    </row>
    <row r="19" spans="1:11" ht="15" customHeight="1" x14ac:dyDescent="0.25">
      <c r="A19" s="388" t="s">
        <v>386</v>
      </c>
      <c r="B19" s="389">
        <v>0.17851159577899833</v>
      </c>
      <c r="C19" s="390">
        <v>0.12727961047872505</v>
      </c>
      <c r="D19" s="390">
        <v>6.763390256911618E-2</v>
      </c>
      <c r="E19" s="390">
        <v>0.38970188302706338</v>
      </c>
      <c r="F19" s="390">
        <v>0.22983659198278719</v>
      </c>
      <c r="G19" s="391">
        <v>7.0364161633136605E-3</v>
      </c>
      <c r="I19" s="365"/>
      <c r="J19" s="387">
        <f t="shared" si="0"/>
        <v>16.425143366919958</v>
      </c>
      <c r="K19" s="387">
        <f t="shared" si="1"/>
        <v>22.983659198278719</v>
      </c>
    </row>
    <row r="20" spans="1:11" ht="15" customHeight="1" x14ac:dyDescent="0.25">
      <c r="A20" s="388" t="s">
        <v>387</v>
      </c>
      <c r="B20" s="389">
        <v>0.181351567540878</v>
      </c>
      <c r="C20" s="390">
        <v>0.13537207465154455</v>
      </c>
      <c r="D20" s="390">
        <v>5.3607064915925449E-2</v>
      </c>
      <c r="E20" s="390">
        <v>0.38533031075853413</v>
      </c>
      <c r="F20" s="390">
        <v>0.24306818137270036</v>
      </c>
      <c r="G20" s="391">
        <v>1.2708007604213247E-3</v>
      </c>
      <c r="I20" s="365"/>
      <c r="J20" s="387">
        <f t="shared" si="0"/>
        <v>17.412696028610046</v>
      </c>
      <c r="K20" s="387">
        <f t="shared" si="1"/>
        <v>24.306818137270035</v>
      </c>
    </row>
    <row r="21" spans="1:11" ht="15" customHeight="1" x14ac:dyDescent="0.25">
      <c r="A21" s="388" t="s">
        <v>388</v>
      </c>
      <c r="B21" s="389">
        <v>0.17869790068992839</v>
      </c>
      <c r="C21" s="390">
        <v>0.13786412756629474</v>
      </c>
      <c r="D21" s="390">
        <v>5.933578971024709E-2</v>
      </c>
      <c r="E21" s="390">
        <v>0.34785575061455842</v>
      </c>
      <c r="F21" s="390">
        <v>0.27274970181822178</v>
      </c>
      <c r="G21" s="391">
        <v>3.4967296007533573E-3</v>
      </c>
      <c r="I21" s="365"/>
      <c r="J21" s="387">
        <f t="shared" si="0"/>
        <v>18.046036228057755</v>
      </c>
      <c r="K21" s="387">
        <f t="shared" si="1"/>
        <v>27.274970181822177</v>
      </c>
    </row>
    <row r="22" spans="1:11" ht="15" customHeight="1" x14ac:dyDescent="0.25">
      <c r="A22" s="388" t="s">
        <v>389</v>
      </c>
      <c r="B22" s="389">
        <v>0.18159336580809421</v>
      </c>
      <c r="C22" s="390">
        <v>0.11791506542181639</v>
      </c>
      <c r="D22" s="390">
        <v>6.1813606522899633E-2</v>
      </c>
      <c r="E22" s="390">
        <v>0.35275927999787521</v>
      </c>
      <c r="F22" s="390">
        <v>0.2824219526485649</v>
      </c>
      <c r="G22" s="391">
        <v>3.4967296007533573E-3</v>
      </c>
      <c r="I22" s="365">
        <v>3</v>
      </c>
      <c r="J22" s="387">
        <f t="shared" si="0"/>
        <v>18.192333028992902</v>
      </c>
      <c r="K22" s="387">
        <f t="shared" si="1"/>
        <v>28.242195264856491</v>
      </c>
    </row>
    <row r="23" spans="1:11" ht="15" customHeight="1" x14ac:dyDescent="0.25">
      <c r="A23" s="388" t="s">
        <v>390</v>
      </c>
      <c r="B23" s="389">
        <v>0.17861866671104346</v>
      </c>
      <c r="C23" s="390">
        <v>9.0632352792705373E-2</v>
      </c>
      <c r="D23" s="390">
        <v>0.10934415398065274</v>
      </c>
      <c r="E23" s="390">
        <v>0.3222044014496982</v>
      </c>
      <c r="F23" s="390">
        <v>0.29570369546515046</v>
      </c>
      <c r="G23" s="391">
        <v>3.4967296007533573E-3</v>
      </c>
      <c r="I23" s="365"/>
      <c r="J23" s="387">
        <f t="shared" si="0"/>
        <v>21.553220007254257</v>
      </c>
      <c r="K23" s="387">
        <f t="shared" si="1"/>
        <v>29.570369546515046</v>
      </c>
    </row>
    <row r="24" spans="1:11" ht="15" customHeight="1" x14ac:dyDescent="0.25">
      <c r="A24" s="388" t="s">
        <v>391</v>
      </c>
      <c r="B24" s="389">
        <v>0.15674346396724084</v>
      </c>
      <c r="C24" s="390">
        <v>0.10025638063671768</v>
      </c>
      <c r="D24" s="390">
        <v>0.10598745217551001</v>
      </c>
      <c r="E24" s="390">
        <v>0.31465374085856962</v>
      </c>
      <c r="F24" s="390">
        <v>0.32235896236196532</v>
      </c>
      <c r="G24" s="392">
        <v>0</v>
      </c>
      <c r="I24" s="365"/>
      <c r="J24" s="387">
        <f t="shared" si="0"/>
        <v>22.822663006847304</v>
      </c>
      <c r="K24" s="387">
        <f t="shared" si="1"/>
        <v>32.235896236196531</v>
      </c>
    </row>
    <row r="25" spans="1:11" ht="15" customHeight="1" x14ac:dyDescent="0.25">
      <c r="A25" s="388" t="s">
        <v>392</v>
      </c>
      <c r="B25" s="389">
        <v>0.14507081599161514</v>
      </c>
      <c r="C25" s="390">
        <v>9.7947107682096343E-2</v>
      </c>
      <c r="D25" s="390">
        <v>0.13578663597395024</v>
      </c>
      <c r="E25" s="390">
        <v>0.29487180324040324</v>
      </c>
      <c r="F25" s="390">
        <v>0.32632363711193851</v>
      </c>
      <c r="G25" s="392">
        <v>0</v>
      </c>
      <c r="I25" s="365"/>
      <c r="J25" s="387">
        <f t="shared" si="0"/>
        <v>26.305984008187721</v>
      </c>
      <c r="K25" s="387">
        <f t="shared" si="1"/>
        <v>32.632363711193854</v>
      </c>
    </row>
    <row r="26" spans="1:11" ht="15" customHeight="1" x14ac:dyDescent="0.25">
      <c r="A26" s="388" t="s">
        <v>393</v>
      </c>
      <c r="B26" s="389">
        <v>0.13135068699301039</v>
      </c>
      <c r="C26" s="390">
        <v>9.6958458943824766E-2</v>
      </c>
      <c r="D26" s="390">
        <v>0.14875924708421781</v>
      </c>
      <c r="E26" s="390">
        <v>0.27943829875529391</v>
      </c>
      <c r="F26" s="390">
        <v>0.34349330822365659</v>
      </c>
      <c r="G26" s="392">
        <v>0</v>
      </c>
      <c r="I26" s="365"/>
      <c r="J26" s="387">
        <f t="shared" si="0"/>
        <v>26.320752039343425</v>
      </c>
      <c r="K26" s="387">
        <f t="shared" si="1"/>
        <v>34.349330822365658</v>
      </c>
    </row>
    <row r="27" spans="1:11" ht="15" customHeight="1" x14ac:dyDescent="0.25">
      <c r="A27" s="388" t="s">
        <v>394</v>
      </c>
      <c r="B27" s="389">
        <v>0.12590607467011991</v>
      </c>
      <c r="C27" s="390">
        <v>0.10264516068307243</v>
      </c>
      <c r="D27" s="390">
        <v>0.13196529327412221</v>
      </c>
      <c r="E27" s="390">
        <v>0.28661679728675549</v>
      </c>
      <c r="F27" s="390">
        <v>0.35286667408593347</v>
      </c>
      <c r="G27" s="392">
        <v>0</v>
      </c>
      <c r="I27" s="365"/>
      <c r="J27" s="387">
        <f t="shared" si="0"/>
        <v>26.552751595967827</v>
      </c>
      <c r="K27" s="387">
        <f t="shared" si="1"/>
        <v>35.286667408593345</v>
      </c>
    </row>
    <row r="28" spans="1:11" ht="15" customHeight="1" x14ac:dyDescent="0.25">
      <c r="A28" s="388" t="s">
        <v>395</v>
      </c>
      <c r="B28" s="389">
        <v>0.12477095709801388</v>
      </c>
      <c r="C28" s="390">
        <v>0.10994609361886001</v>
      </c>
      <c r="D28" s="390">
        <v>0.14238894734996588</v>
      </c>
      <c r="E28" s="390">
        <v>0.27521079396334064</v>
      </c>
      <c r="F28" s="390">
        <v>0.3476832079698231</v>
      </c>
      <c r="G28" s="392">
        <v>0</v>
      </c>
      <c r="I28" s="365">
        <v>4</v>
      </c>
      <c r="J28" s="387">
        <f t="shared" si="0"/>
        <v>29.664288055075161</v>
      </c>
      <c r="K28" s="387">
        <f t="shared" si="1"/>
        <v>34.768320796982309</v>
      </c>
    </row>
    <row r="29" spans="1:11" ht="15" customHeight="1" x14ac:dyDescent="0.25">
      <c r="A29" s="388" t="s">
        <v>396</v>
      </c>
      <c r="B29" s="389">
        <v>0.1122611505164596</v>
      </c>
      <c r="C29" s="390">
        <v>0.10333361232857577</v>
      </c>
      <c r="D29" s="390">
        <v>0.17790677755570372</v>
      </c>
      <c r="E29" s="390">
        <v>0.25920912725447026</v>
      </c>
      <c r="F29" s="390">
        <v>0.34572193740541612</v>
      </c>
      <c r="G29" s="391">
        <v>1.5673949393779809E-3</v>
      </c>
      <c r="I29" s="365"/>
      <c r="J29" s="387">
        <f t="shared" si="0"/>
        <v>31.831280573433652</v>
      </c>
      <c r="K29" s="387">
        <f t="shared" si="1"/>
        <v>34.572193740541614</v>
      </c>
    </row>
    <row r="30" spans="1:11" ht="15" customHeight="1" x14ac:dyDescent="0.25">
      <c r="A30" s="388" t="s">
        <v>397</v>
      </c>
      <c r="B30" s="389">
        <v>9.2451849044540582E-2</v>
      </c>
      <c r="C30" s="390">
        <v>0.11446217843892319</v>
      </c>
      <c r="D30" s="390">
        <v>0.18545512390903204</v>
      </c>
      <c r="E30" s="390">
        <v>0.24507997004086285</v>
      </c>
      <c r="F30" s="390">
        <v>0.3561937510663612</v>
      </c>
      <c r="G30" s="391">
        <v>6.3571275002836485E-3</v>
      </c>
      <c r="I30" s="365"/>
      <c r="J30" s="387">
        <f t="shared" si="0"/>
        <v>30.830817436098449</v>
      </c>
      <c r="K30" s="387">
        <f t="shared" si="1"/>
        <v>35.61937510663612</v>
      </c>
    </row>
    <row r="31" spans="1:11" ht="15" customHeight="1" x14ac:dyDescent="0.25">
      <c r="A31" s="388" t="s">
        <v>398</v>
      </c>
      <c r="B31" s="389">
        <v>7.7346033345909046E-2</v>
      </c>
      <c r="C31" s="390">
        <v>0.10862467847004653</v>
      </c>
      <c r="D31" s="390">
        <v>0.20055539166607766</v>
      </c>
      <c r="E31" s="390">
        <v>0.25058023334391782</v>
      </c>
      <c r="F31" s="390">
        <v>0.36289366317405258</v>
      </c>
      <c r="G31" s="392">
        <v>0</v>
      </c>
      <c r="I31" s="365"/>
      <c r="J31" s="387">
        <f t="shared" si="0"/>
        <v>31.239045521717056</v>
      </c>
      <c r="K31" s="387">
        <f t="shared" si="1"/>
        <v>36.289366317405261</v>
      </c>
    </row>
    <row r="32" spans="1:11" ht="15" customHeight="1" x14ac:dyDescent="0.25">
      <c r="A32" s="388" t="s">
        <v>399</v>
      </c>
      <c r="B32" s="389">
        <v>6.0052013845376374E-2</v>
      </c>
      <c r="C32" s="390">
        <v>0.1094496002416431</v>
      </c>
      <c r="D32" s="390">
        <v>0.23242881034639398</v>
      </c>
      <c r="E32" s="390">
        <v>0.24739512292541474</v>
      </c>
      <c r="F32" s="390">
        <v>0.35067445264117558</v>
      </c>
      <c r="G32" s="392">
        <v>0</v>
      </c>
      <c r="I32" s="365"/>
      <c r="J32" s="387">
        <f t="shared" si="0"/>
        <v>33.837062691003197</v>
      </c>
      <c r="K32" s="387">
        <f t="shared" si="1"/>
        <v>35.067445264117559</v>
      </c>
    </row>
    <row r="33" spans="1:11" ht="15" customHeight="1" x14ac:dyDescent="0.25">
      <c r="A33" s="388" t="s">
        <v>400</v>
      </c>
      <c r="B33" s="389">
        <v>5.6991103873527189E-2</v>
      </c>
      <c r="C33" s="390">
        <v>9.0052473552182252E-2</v>
      </c>
      <c r="D33" s="390">
        <v>0.25340326106378219</v>
      </c>
      <c r="E33" s="390">
        <v>0.2539192549309458</v>
      </c>
      <c r="F33" s="390">
        <v>0.34563390657956605</v>
      </c>
      <c r="G33" s="392">
        <v>0</v>
      </c>
      <c r="I33" s="365"/>
      <c r="J33" s="387">
        <f t="shared" si="0"/>
        <v>35.580617482940781</v>
      </c>
      <c r="K33" s="387">
        <f t="shared" si="1"/>
        <v>34.563390657956603</v>
      </c>
    </row>
    <row r="34" spans="1:11" ht="15" customHeight="1" x14ac:dyDescent="0.25">
      <c r="A34" s="388" t="s">
        <v>401</v>
      </c>
      <c r="B34" s="389">
        <v>4.767452778833501E-2</v>
      </c>
      <c r="C34" s="390">
        <v>8.4833933650752702E-2</v>
      </c>
      <c r="D34" s="390">
        <v>0.27077090277911164</v>
      </c>
      <c r="E34" s="390">
        <v>0.25362468755201739</v>
      </c>
      <c r="F34" s="390">
        <v>0.34309594822978684</v>
      </c>
      <c r="G34" s="392">
        <v>0</v>
      </c>
      <c r="I34" s="365">
        <v>5</v>
      </c>
      <c r="J34" s="387">
        <f t="shared" si="0"/>
        <v>37.033621096773288</v>
      </c>
      <c r="K34" s="387">
        <f t="shared" si="1"/>
        <v>34.309594822978681</v>
      </c>
    </row>
    <row r="35" spans="1:11" ht="15" customHeight="1" x14ac:dyDescent="0.25">
      <c r="A35" s="388" t="s">
        <v>402</v>
      </c>
      <c r="B35" s="389">
        <v>3.7638379489005121E-2</v>
      </c>
      <c r="C35" s="390">
        <v>8.0936282061084719E-2</v>
      </c>
      <c r="D35" s="390">
        <v>0.30144143343835234</v>
      </c>
      <c r="E35" s="390">
        <v>0.22314443460542224</v>
      </c>
      <c r="F35" s="390">
        <v>0.35434948293268304</v>
      </c>
      <c r="G35" s="391">
        <v>2.4899874734559363E-3</v>
      </c>
      <c r="I35" s="365"/>
      <c r="J35" s="387">
        <f t="shared" si="0"/>
        <v>39.129133728849084</v>
      </c>
      <c r="K35" s="387">
        <f t="shared" si="1"/>
        <v>35.434948293268306</v>
      </c>
    </row>
    <row r="36" spans="1:11" ht="15" customHeight="1" x14ac:dyDescent="0.25">
      <c r="A36" s="388" t="s">
        <v>403</v>
      </c>
      <c r="B36" s="389">
        <v>3.0937302824163435E-2</v>
      </c>
      <c r="C36" s="390">
        <v>6.7049358788672964E-2</v>
      </c>
      <c r="D36" s="390">
        <v>0.32542124846009257</v>
      </c>
      <c r="E36" s="390">
        <v>0.20877479528420356</v>
      </c>
      <c r="F36" s="390">
        <v>0.36532730716941508</v>
      </c>
      <c r="G36" s="391">
        <v>2.4899874734559363E-3</v>
      </c>
      <c r="I36" s="365"/>
      <c r="J36" s="387">
        <f t="shared" si="0"/>
        <v>40.272168708265085</v>
      </c>
      <c r="K36" s="387">
        <f t="shared" si="1"/>
        <v>36.532730716941508</v>
      </c>
    </row>
    <row r="37" spans="1:11" ht="15" customHeight="1" x14ac:dyDescent="0.25">
      <c r="A37" s="388" t="s">
        <v>404</v>
      </c>
      <c r="B37" s="389">
        <v>3.618923692956668E-2</v>
      </c>
      <c r="C37" s="390">
        <v>4.6301778744579837E-2</v>
      </c>
      <c r="D37" s="390">
        <v>0.34117247397006412</v>
      </c>
      <c r="E37" s="390">
        <v>0.20189703112279672</v>
      </c>
      <c r="F37" s="390">
        <v>0.36888009849915421</v>
      </c>
      <c r="G37" s="391">
        <v>5.5593807338421043E-3</v>
      </c>
      <c r="I37" s="365"/>
      <c r="J37" s="387">
        <f t="shared" si="0"/>
        <v>40.754989202523348</v>
      </c>
      <c r="K37" s="387">
        <f t="shared" si="1"/>
        <v>36.88800984991542</v>
      </c>
    </row>
    <row r="38" spans="1:11" ht="15" customHeight="1" x14ac:dyDescent="0.25">
      <c r="A38" s="388" t="s">
        <v>405</v>
      </c>
      <c r="B38" s="389">
        <v>2.9818035993066802E-2</v>
      </c>
      <c r="C38" s="390">
        <v>3.9222847172540966E-2</v>
      </c>
      <c r="D38" s="390">
        <v>0.38272010310930199</v>
      </c>
      <c r="E38" s="390">
        <v>0.19846385166806296</v>
      </c>
      <c r="F38" s="390">
        <v>0.34243117530287909</v>
      </c>
      <c r="G38" s="391">
        <v>7.3439867541517708E-3</v>
      </c>
      <c r="I38" s="365"/>
      <c r="J38" s="387">
        <f t="shared" si="0"/>
        <v>38.544070746899706</v>
      </c>
      <c r="K38" s="387">
        <f t="shared" si="1"/>
        <v>34.243117530287911</v>
      </c>
    </row>
    <row r="39" spans="1:11" ht="15" customHeight="1" x14ac:dyDescent="0.25">
      <c r="A39" s="388" t="s">
        <v>406</v>
      </c>
      <c r="B39" s="389">
        <v>1.7656763267465621E-2</v>
      </c>
      <c r="C39" s="390">
        <v>5.2108773642268374E-2</v>
      </c>
      <c r="D39" s="390">
        <v>0.39982210100728877</v>
      </c>
      <c r="E39" s="390">
        <v>0.18258356148403179</v>
      </c>
      <c r="F39" s="390">
        <v>0.34048481384479712</v>
      </c>
      <c r="G39" s="391">
        <v>7.3439867541517708E-3</v>
      </c>
      <c r="I39" s="365"/>
      <c r="J39" s="387">
        <f t="shared" si="0"/>
        <v>39.825339530308611</v>
      </c>
      <c r="K39" s="387">
        <f t="shared" si="1"/>
        <v>34.048481384479715</v>
      </c>
    </row>
    <row r="40" spans="1:11" ht="15" customHeight="1" thickBot="1" x14ac:dyDescent="0.3">
      <c r="A40" s="393" t="s">
        <v>407</v>
      </c>
      <c r="B40" s="394">
        <v>1.8743180342609876E-2</v>
      </c>
      <c r="C40" s="395">
        <v>4.6886542433092468E-2</v>
      </c>
      <c r="D40" s="395">
        <v>0.42931948382111701</v>
      </c>
      <c r="E40" s="395">
        <v>0.16791658935248727</v>
      </c>
      <c r="F40" s="395">
        <v>0.33494816443928355</v>
      </c>
      <c r="G40" s="396">
        <v>2.1860396114134805E-3</v>
      </c>
      <c r="I40" s="365">
        <v>6</v>
      </c>
      <c r="J40" s="387">
        <f t="shared" si="0"/>
        <v>39.325414590744884</v>
      </c>
      <c r="K40" s="387">
        <f t="shared" si="1"/>
        <v>33.494816443928357</v>
      </c>
    </row>
    <row r="41" spans="1:11" ht="15.75" thickTop="1" x14ac:dyDescent="0.25"/>
    <row r="43" spans="1:11" ht="18" customHeight="1" thickBot="1" x14ac:dyDescent="0.3">
      <c r="A43" s="1430" t="s">
        <v>408</v>
      </c>
      <c r="B43" s="1430"/>
      <c r="C43" s="1430"/>
      <c r="D43" s="1430"/>
      <c r="E43" s="1430"/>
      <c r="F43" s="1430"/>
      <c r="G43" s="1430"/>
    </row>
    <row r="44" spans="1:11" ht="69.95" customHeight="1" thickTop="1" x14ac:dyDescent="0.25">
      <c r="A44" s="1428"/>
      <c r="B44" s="376" t="s">
        <v>367</v>
      </c>
      <c r="C44" s="377" t="s">
        <v>412</v>
      </c>
      <c r="D44" s="377" t="s">
        <v>414</v>
      </c>
      <c r="E44" s="377" t="s">
        <v>368</v>
      </c>
      <c r="F44" s="377" t="s">
        <v>369</v>
      </c>
      <c r="G44" s="378" t="s">
        <v>370</v>
      </c>
    </row>
    <row r="45" spans="1:11" ht="15" customHeight="1" thickBot="1" x14ac:dyDescent="0.3">
      <c r="A45" s="1429"/>
      <c r="B45" s="379" t="s">
        <v>371</v>
      </c>
      <c r="C45" s="380" t="s">
        <v>371</v>
      </c>
      <c r="D45" s="380" t="s">
        <v>371</v>
      </c>
      <c r="E45" s="380" t="s">
        <v>371</v>
      </c>
      <c r="F45" s="380" t="s">
        <v>371</v>
      </c>
      <c r="G45" s="381" t="s">
        <v>371</v>
      </c>
    </row>
    <row r="46" spans="1:11" ht="15" customHeight="1" thickTop="1" x14ac:dyDescent="0.25">
      <c r="A46" s="383" t="s">
        <v>372</v>
      </c>
      <c r="B46" s="384">
        <v>0.33224875672515736</v>
      </c>
      <c r="C46" s="385">
        <v>0.14687028556749596</v>
      </c>
      <c r="D46" s="385">
        <v>0.39072582264717054</v>
      </c>
      <c r="E46" s="385">
        <v>0.12559603860031782</v>
      </c>
      <c r="F46" s="397">
        <v>4.5590964598556643E-3</v>
      </c>
      <c r="G46" s="398">
        <v>0</v>
      </c>
    </row>
    <row r="47" spans="1:11" ht="15" customHeight="1" x14ac:dyDescent="0.25">
      <c r="A47" s="388" t="s">
        <v>373</v>
      </c>
      <c r="B47" s="389">
        <v>0.34568035780935474</v>
      </c>
      <c r="C47" s="390">
        <v>0.2742000957130209</v>
      </c>
      <c r="D47" s="390">
        <v>0.22589376470646447</v>
      </c>
      <c r="E47" s="390">
        <v>0.14966668531130134</v>
      </c>
      <c r="F47" s="399">
        <v>4.5590964598556643E-3</v>
      </c>
      <c r="G47" s="392">
        <v>0</v>
      </c>
    </row>
    <row r="48" spans="1:11" ht="15" customHeight="1" x14ac:dyDescent="0.25">
      <c r="A48" s="388" t="s">
        <v>374</v>
      </c>
      <c r="B48" s="389">
        <v>0.36212359436087022</v>
      </c>
      <c r="C48" s="390">
        <v>0.34956860421699537</v>
      </c>
      <c r="D48" s="390">
        <v>9.8021294351450017E-2</v>
      </c>
      <c r="E48" s="390">
        <v>0.18390296232808886</v>
      </c>
      <c r="F48" s="399">
        <v>6.3835447425925011E-3</v>
      </c>
      <c r="G48" s="392">
        <v>0</v>
      </c>
    </row>
    <row r="49" spans="1:7" ht="15" customHeight="1" x14ac:dyDescent="0.25">
      <c r="A49" s="388" t="s">
        <v>375</v>
      </c>
      <c r="B49" s="389">
        <v>0.35557832142899243</v>
      </c>
      <c r="C49" s="390">
        <v>0.37057749743075669</v>
      </c>
      <c r="D49" s="390">
        <v>4.7658321581615919E-2</v>
      </c>
      <c r="E49" s="390">
        <v>0.20321311771013245</v>
      </c>
      <c r="F49" s="390">
        <v>2.297274184849964E-2</v>
      </c>
      <c r="G49" s="392">
        <v>0</v>
      </c>
    </row>
    <row r="50" spans="1:7" ht="15" customHeight="1" x14ac:dyDescent="0.25">
      <c r="A50" s="388" t="s">
        <v>376</v>
      </c>
      <c r="B50" s="389">
        <v>0.34917556828343765</v>
      </c>
      <c r="C50" s="390">
        <v>0.35765437945162609</v>
      </c>
      <c r="D50" s="390">
        <v>3.8373129390740064E-2</v>
      </c>
      <c r="E50" s="390">
        <v>0.23200549643262988</v>
      </c>
      <c r="F50" s="390">
        <v>2.2791426441563411E-2</v>
      </c>
      <c r="G50" s="392">
        <v>0</v>
      </c>
    </row>
    <row r="51" spans="1:7" ht="15" customHeight="1" x14ac:dyDescent="0.25">
      <c r="A51" s="388" t="s">
        <v>377</v>
      </c>
      <c r="B51" s="389">
        <v>0.32340524082190703</v>
      </c>
      <c r="C51" s="390">
        <v>0.34354115590049766</v>
      </c>
      <c r="D51" s="390">
        <v>4.5542662468983398E-2</v>
      </c>
      <c r="E51" s="390">
        <v>0.25910043335833849</v>
      </c>
      <c r="F51" s="390">
        <v>2.8410507450270406E-2</v>
      </c>
      <c r="G51" s="392">
        <v>0</v>
      </c>
    </row>
    <row r="52" spans="1:7" ht="15" customHeight="1" x14ac:dyDescent="0.25">
      <c r="A52" s="388" t="s">
        <v>378</v>
      </c>
      <c r="B52" s="389">
        <v>0.334523194341452</v>
      </c>
      <c r="C52" s="390">
        <v>0.29217271867150818</v>
      </c>
      <c r="D52" s="390">
        <v>6.5377404087980234E-2</v>
      </c>
      <c r="E52" s="390">
        <v>0.27103074591577564</v>
      </c>
      <c r="F52" s="390">
        <v>3.6895936983280975E-2</v>
      </c>
      <c r="G52" s="392">
        <v>0</v>
      </c>
    </row>
    <row r="53" spans="1:7" ht="15" customHeight="1" x14ac:dyDescent="0.25">
      <c r="A53" s="388" t="s">
        <v>379</v>
      </c>
      <c r="B53" s="389">
        <v>0.33853757809872398</v>
      </c>
      <c r="C53" s="390">
        <v>0.26845172470340506</v>
      </c>
      <c r="D53" s="390">
        <v>6.3189383251999992E-2</v>
      </c>
      <c r="E53" s="390">
        <v>0.29328182780753537</v>
      </c>
      <c r="F53" s="390">
        <v>3.653948613833273E-2</v>
      </c>
      <c r="G53" s="392">
        <v>0</v>
      </c>
    </row>
    <row r="54" spans="1:7" ht="15" customHeight="1" x14ac:dyDescent="0.25">
      <c r="A54" s="388" t="s">
        <v>380</v>
      </c>
      <c r="B54" s="389">
        <v>0.29219705341700158</v>
      </c>
      <c r="C54" s="390">
        <v>0.29144803274588654</v>
      </c>
      <c r="D54" s="390">
        <v>6.4322584039691932E-2</v>
      </c>
      <c r="E54" s="390">
        <v>0.29743393684967057</v>
      </c>
      <c r="F54" s="390">
        <v>5.207862778753828E-2</v>
      </c>
      <c r="G54" s="391">
        <v>2.519765160208283E-3</v>
      </c>
    </row>
    <row r="55" spans="1:7" ht="15" customHeight="1" x14ac:dyDescent="0.25">
      <c r="A55" s="388" t="s">
        <v>381</v>
      </c>
      <c r="B55" s="389">
        <v>0.28161677533331869</v>
      </c>
      <c r="C55" s="390">
        <v>0.27065353662768793</v>
      </c>
      <c r="D55" s="390">
        <v>4.6041744385311306E-2</v>
      </c>
      <c r="E55" s="390">
        <v>0.30326484217503069</v>
      </c>
      <c r="F55" s="390">
        <v>9.5903336318440377E-2</v>
      </c>
      <c r="G55" s="391">
        <v>2.519765160208283E-3</v>
      </c>
    </row>
    <row r="56" spans="1:7" ht="15" customHeight="1" x14ac:dyDescent="0.25">
      <c r="A56" s="388" t="s">
        <v>382</v>
      </c>
      <c r="B56" s="389">
        <v>0.29289911436064359</v>
      </c>
      <c r="C56" s="390">
        <v>0.23529891998756944</v>
      </c>
      <c r="D56" s="390">
        <v>3.9185443329553107E-2</v>
      </c>
      <c r="E56" s="390">
        <v>0.31742221941894511</v>
      </c>
      <c r="F56" s="390">
        <v>0.11519430290328589</v>
      </c>
      <c r="G56" s="392">
        <v>0</v>
      </c>
    </row>
    <row r="57" spans="1:7" ht="15" customHeight="1" x14ac:dyDescent="0.25">
      <c r="A57" s="388" t="s">
        <v>383</v>
      </c>
      <c r="B57" s="389">
        <v>0.32116712098942807</v>
      </c>
      <c r="C57" s="390">
        <v>0.18884395108176974</v>
      </c>
      <c r="D57" s="390">
        <v>4.2690224788067901E-2</v>
      </c>
      <c r="E57" s="390">
        <v>0.30655904290607638</v>
      </c>
      <c r="F57" s="390">
        <v>0.13368967789784819</v>
      </c>
      <c r="G57" s="391">
        <v>7.0499823368068279E-3</v>
      </c>
    </row>
    <row r="58" spans="1:7" ht="15" customHeight="1" x14ac:dyDescent="0.25">
      <c r="A58" s="388" t="s">
        <v>384</v>
      </c>
      <c r="B58" s="389">
        <v>0.31360360561982786</v>
      </c>
      <c r="C58" s="390">
        <v>0.1402737865151647</v>
      </c>
      <c r="D58" s="390">
        <v>4.2127375977619036E-2</v>
      </c>
      <c r="E58" s="390">
        <v>0.33916200930218321</v>
      </c>
      <c r="F58" s="390">
        <v>0.15778324024839538</v>
      </c>
      <c r="G58" s="391">
        <v>7.0499823368068279E-3</v>
      </c>
    </row>
    <row r="59" spans="1:7" ht="15" customHeight="1" x14ac:dyDescent="0.25">
      <c r="A59" s="388" t="s">
        <v>385</v>
      </c>
      <c r="B59" s="389">
        <v>0.30223784176830765</v>
      </c>
      <c r="C59" s="390">
        <v>0.11920317724732017</v>
      </c>
      <c r="D59" s="390">
        <v>6.3050527966970499E-2</v>
      </c>
      <c r="E59" s="390">
        <v>0.34602060017597547</v>
      </c>
      <c r="F59" s="390">
        <v>0.16699272610068192</v>
      </c>
      <c r="G59" s="391">
        <v>2.4951267407414242E-3</v>
      </c>
    </row>
    <row r="60" spans="1:7" ht="15" customHeight="1" x14ac:dyDescent="0.25">
      <c r="A60" s="388" t="s">
        <v>386</v>
      </c>
      <c r="B60" s="389">
        <v>0.30368821035262961</v>
      </c>
      <c r="C60" s="390">
        <v>8.5644726288436293E-2</v>
      </c>
      <c r="D60" s="390">
        <v>6.8043156395420148E-2</v>
      </c>
      <c r="E60" s="390">
        <v>0.36957157676700381</v>
      </c>
      <c r="F60" s="390">
        <v>0.16425143366919959</v>
      </c>
      <c r="G60" s="391">
        <v>8.8008965273078422E-3</v>
      </c>
    </row>
    <row r="61" spans="1:7" ht="15" customHeight="1" x14ac:dyDescent="0.25">
      <c r="A61" s="388" t="s">
        <v>387</v>
      </c>
      <c r="B61" s="389">
        <v>0.33774587854779653</v>
      </c>
      <c r="C61" s="390">
        <v>8.8057998968694054E-2</v>
      </c>
      <c r="D61" s="390">
        <v>5.9168762955192508E-2</v>
      </c>
      <c r="E61" s="390">
        <v>0.33209950271490568</v>
      </c>
      <c r="F61" s="390">
        <v>0.17412696028610047</v>
      </c>
      <c r="G61" s="391">
        <v>8.8008965273078422E-3</v>
      </c>
    </row>
    <row r="62" spans="1:7" ht="15" customHeight="1" x14ac:dyDescent="0.25">
      <c r="A62" s="388" t="s">
        <v>388</v>
      </c>
      <c r="B62" s="389">
        <v>0.34036225191772812</v>
      </c>
      <c r="C62" s="390">
        <v>7.3938494092795862E-2</v>
      </c>
      <c r="D62" s="390">
        <v>6.9594759384068033E-2</v>
      </c>
      <c r="E62" s="390">
        <v>0.32933836253826099</v>
      </c>
      <c r="F62" s="390">
        <v>0.18046036228057755</v>
      </c>
      <c r="G62" s="391">
        <v>6.3057697865664172E-3</v>
      </c>
    </row>
    <row r="63" spans="1:7" ht="15" customHeight="1" x14ac:dyDescent="0.25">
      <c r="A63" s="388" t="s">
        <v>389</v>
      </c>
      <c r="B63" s="389">
        <v>0.3506483187647792</v>
      </c>
      <c r="C63" s="390">
        <v>7.3716602460485003E-2</v>
      </c>
      <c r="D63" s="390">
        <v>5.8274531724936678E-2</v>
      </c>
      <c r="E63" s="390">
        <v>0.33543721675986732</v>
      </c>
      <c r="F63" s="390">
        <v>0.18192333028992902</v>
      </c>
      <c r="G63" s="392">
        <v>0</v>
      </c>
    </row>
    <row r="64" spans="1:7" ht="15" customHeight="1" x14ac:dyDescent="0.25">
      <c r="A64" s="388" t="s">
        <v>390</v>
      </c>
      <c r="B64" s="389">
        <v>0.32092441603501887</v>
      </c>
      <c r="C64" s="390">
        <v>8.3063260701964736E-2</v>
      </c>
      <c r="D64" s="390">
        <v>8.4460170580228977E-2</v>
      </c>
      <c r="E64" s="390">
        <v>0.29601995261024189</v>
      </c>
      <c r="F64" s="390">
        <v>0.21553220007254256</v>
      </c>
      <c r="G64" s="392">
        <v>0</v>
      </c>
    </row>
    <row r="65" spans="1:7" ht="15" customHeight="1" x14ac:dyDescent="0.25">
      <c r="A65" s="388" t="s">
        <v>391</v>
      </c>
      <c r="B65" s="389">
        <v>0.30135424787239395</v>
      </c>
      <c r="C65" s="390">
        <v>8.4374159287016498E-2</v>
      </c>
      <c r="D65" s="390">
        <v>9.535469697767894E-2</v>
      </c>
      <c r="E65" s="390">
        <v>0.29069026579443469</v>
      </c>
      <c r="F65" s="390">
        <v>0.22822663006847305</v>
      </c>
      <c r="G65" s="392">
        <v>0</v>
      </c>
    </row>
    <row r="66" spans="1:7" ht="15" customHeight="1" x14ac:dyDescent="0.25">
      <c r="A66" s="388" t="s">
        <v>392</v>
      </c>
      <c r="B66" s="389">
        <v>0.27971143102221913</v>
      </c>
      <c r="C66" s="390">
        <v>7.110044629608997E-2</v>
      </c>
      <c r="D66" s="390">
        <v>0.10886726120445556</v>
      </c>
      <c r="E66" s="390">
        <v>0.27726102139535536</v>
      </c>
      <c r="F66" s="390">
        <v>0.26305984008187722</v>
      </c>
      <c r="G66" s="392">
        <v>0</v>
      </c>
    </row>
    <row r="67" spans="1:7" ht="15" customHeight="1" x14ac:dyDescent="0.25">
      <c r="A67" s="388" t="s">
        <v>393</v>
      </c>
      <c r="B67" s="389">
        <v>0.29695396397110257</v>
      </c>
      <c r="C67" s="390">
        <v>6.8092339217690076E-2</v>
      </c>
      <c r="D67" s="390">
        <v>9.2830988769075709E-2</v>
      </c>
      <c r="E67" s="390">
        <v>0.27891518764869461</v>
      </c>
      <c r="F67" s="390">
        <v>0.26320752039343426</v>
      </c>
      <c r="G67" s="392">
        <v>0</v>
      </c>
    </row>
    <row r="68" spans="1:7" ht="15" customHeight="1" x14ac:dyDescent="0.25">
      <c r="A68" s="388" t="s">
        <v>394</v>
      </c>
      <c r="B68" s="389">
        <v>0.27495087557180414</v>
      </c>
      <c r="C68" s="390">
        <v>7.6541503174477291E-2</v>
      </c>
      <c r="D68" s="390">
        <v>0.11686286012435186</v>
      </c>
      <c r="E68" s="390">
        <v>0.26611724516968582</v>
      </c>
      <c r="F68" s="390">
        <v>0.26552751595967827</v>
      </c>
      <c r="G68" s="392">
        <v>0</v>
      </c>
    </row>
    <row r="69" spans="1:7" ht="15" customHeight="1" x14ac:dyDescent="0.25">
      <c r="A69" s="388" t="s">
        <v>395</v>
      </c>
      <c r="B69" s="389">
        <v>0.24436896703649669</v>
      </c>
      <c r="C69" s="390">
        <v>0.10449939495239276</v>
      </c>
      <c r="D69" s="390">
        <v>0.10839535563468068</v>
      </c>
      <c r="E69" s="390">
        <v>0.24609340182567563</v>
      </c>
      <c r="F69" s="390">
        <v>0.29664288055075161</v>
      </c>
      <c r="G69" s="392">
        <v>0</v>
      </c>
    </row>
    <row r="70" spans="1:7" ht="15" customHeight="1" x14ac:dyDescent="0.25">
      <c r="A70" s="388" t="s">
        <v>396</v>
      </c>
      <c r="B70" s="389">
        <v>0.2486402282429333</v>
      </c>
      <c r="C70" s="390">
        <v>9.9465129322496904E-2</v>
      </c>
      <c r="D70" s="390">
        <v>0.12120901573780954</v>
      </c>
      <c r="E70" s="390">
        <v>0.21121824619673363</v>
      </c>
      <c r="F70" s="390">
        <v>0.31831280573433651</v>
      </c>
      <c r="G70" s="391">
        <v>1.1545747656876483E-3</v>
      </c>
    </row>
    <row r="71" spans="1:7" ht="15" customHeight="1" x14ac:dyDescent="0.25">
      <c r="A71" s="388" t="s">
        <v>397</v>
      </c>
      <c r="B71" s="389">
        <v>0.22774830385414593</v>
      </c>
      <c r="C71" s="390">
        <v>0.11247246903815722</v>
      </c>
      <c r="D71" s="390">
        <v>0.13332725965747963</v>
      </c>
      <c r="E71" s="390">
        <v>0.21698921832354251</v>
      </c>
      <c r="F71" s="390">
        <v>0.30830817436098451</v>
      </c>
      <c r="G71" s="391">
        <v>1.1545747656876483E-3</v>
      </c>
    </row>
    <row r="72" spans="1:7" ht="15" customHeight="1" x14ac:dyDescent="0.25">
      <c r="A72" s="388" t="s">
        <v>398</v>
      </c>
      <c r="B72" s="389">
        <v>0.24133878736505662</v>
      </c>
      <c r="C72" s="390">
        <v>0.10697954046118893</v>
      </c>
      <c r="D72" s="390">
        <v>0.14892715818969851</v>
      </c>
      <c r="E72" s="390">
        <v>0.18920948400119528</v>
      </c>
      <c r="F72" s="390">
        <v>0.31239045521717057</v>
      </c>
      <c r="G72" s="391">
        <v>1.1545747656876483E-3</v>
      </c>
    </row>
    <row r="73" spans="1:7" ht="15" customHeight="1" x14ac:dyDescent="0.25">
      <c r="A73" s="388" t="s">
        <v>399</v>
      </c>
      <c r="B73" s="389">
        <v>0.19263738449617587</v>
      </c>
      <c r="C73" s="390">
        <v>0.10619737048975547</v>
      </c>
      <c r="D73" s="390">
        <v>0.16880038528077881</v>
      </c>
      <c r="E73" s="390">
        <v>0.19283965805756759</v>
      </c>
      <c r="F73" s="390">
        <v>0.33837062691003195</v>
      </c>
      <c r="G73" s="391">
        <v>1.1545747656876483E-3</v>
      </c>
    </row>
    <row r="74" spans="1:7" ht="15" customHeight="1" x14ac:dyDescent="0.25">
      <c r="A74" s="388" t="s">
        <v>400</v>
      </c>
      <c r="B74" s="389">
        <v>0.17831165999939969</v>
      </c>
      <c r="C74" s="390">
        <v>7.5163821852452878E-2</v>
      </c>
      <c r="D74" s="390">
        <v>0.18948457395221319</v>
      </c>
      <c r="E74" s="390">
        <v>0.20007919460083612</v>
      </c>
      <c r="F74" s="390">
        <v>0.3558061748294078</v>
      </c>
      <c r="G74" s="391">
        <v>1.1545747656876483E-3</v>
      </c>
    </row>
    <row r="75" spans="1:7" ht="15" customHeight="1" x14ac:dyDescent="0.25">
      <c r="A75" s="388" t="s">
        <v>401</v>
      </c>
      <c r="B75" s="389">
        <v>0.1723039195865293</v>
      </c>
      <c r="C75" s="390">
        <v>6.6010919504837007E-2</v>
      </c>
      <c r="D75" s="390">
        <v>0.20639265176791041</v>
      </c>
      <c r="E75" s="390">
        <v>0.18380172340730025</v>
      </c>
      <c r="F75" s="390">
        <v>0.37033621096773289</v>
      </c>
      <c r="G75" s="391">
        <v>1.1545747656876483E-3</v>
      </c>
    </row>
    <row r="76" spans="1:7" ht="15" customHeight="1" x14ac:dyDescent="0.25">
      <c r="A76" s="388" t="s">
        <v>402</v>
      </c>
      <c r="B76" s="389">
        <v>0.13461758505458329</v>
      </c>
      <c r="C76" s="390">
        <v>5.4956738256630416E-2</v>
      </c>
      <c r="D76" s="390">
        <v>0.23362794742174253</v>
      </c>
      <c r="E76" s="390">
        <v>0.18550639197855034</v>
      </c>
      <c r="F76" s="390">
        <v>0.39129133728849086</v>
      </c>
      <c r="G76" s="392">
        <v>0</v>
      </c>
    </row>
    <row r="77" spans="1:7" ht="15" customHeight="1" x14ac:dyDescent="0.25">
      <c r="A77" s="388" t="s">
        <v>403</v>
      </c>
      <c r="B77" s="389">
        <v>0.13041123843969768</v>
      </c>
      <c r="C77" s="390">
        <v>4.3519098884493033E-2</v>
      </c>
      <c r="D77" s="390">
        <v>0.223692608645082</v>
      </c>
      <c r="E77" s="390">
        <v>0.19965536694807398</v>
      </c>
      <c r="F77" s="390">
        <v>0.40272168708265083</v>
      </c>
      <c r="G77" s="392">
        <v>0</v>
      </c>
    </row>
    <row r="78" spans="1:7" ht="15" customHeight="1" x14ac:dyDescent="0.25">
      <c r="A78" s="388" t="s">
        <v>404</v>
      </c>
      <c r="B78" s="389">
        <v>0.1270835017190356</v>
      </c>
      <c r="C78" s="390">
        <v>2.8465327449364222E-2</v>
      </c>
      <c r="D78" s="390">
        <v>0.24059418485408396</v>
      </c>
      <c r="E78" s="390">
        <v>0.1963070939522801</v>
      </c>
      <c r="F78" s="390">
        <v>0.40754989202523345</v>
      </c>
      <c r="G78" s="392">
        <v>0</v>
      </c>
    </row>
    <row r="79" spans="1:7" ht="15" customHeight="1" x14ac:dyDescent="0.25">
      <c r="A79" s="388" t="s">
        <v>405</v>
      </c>
      <c r="B79" s="389">
        <v>0.11293536516839119</v>
      </c>
      <c r="C79" s="390">
        <v>2.8713226808050111E-2</v>
      </c>
      <c r="D79" s="390">
        <v>0.28071845717693811</v>
      </c>
      <c r="E79" s="390">
        <v>0.18859418394556454</v>
      </c>
      <c r="F79" s="390">
        <v>0.38544070746899706</v>
      </c>
      <c r="G79" s="391">
        <v>3.5980594320566437E-3</v>
      </c>
    </row>
    <row r="80" spans="1:7" ht="15" customHeight="1" x14ac:dyDescent="0.25">
      <c r="A80" s="388" t="s">
        <v>406</v>
      </c>
      <c r="B80" s="389">
        <v>9.4923416601201321E-2</v>
      </c>
      <c r="C80" s="390">
        <v>2.1401797399690312E-2</v>
      </c>
      <c r="D80" s="390">
        <v>0.3016904668511402</v>
      </c>
      <c r="E80" s="390">
        <v>0.18013286441282295</v>
      </c>
      <c r="F80" s="390">
        <v>0.39825339530308612</v>
      </c>
      <c r="G80" s="391">
        <v>3.5980594320566437E-3</v>
      </c>
    </row>
    <row r="81" spans="1:7" ht="15" customHeight="1" thickBot="1" x14ac:dyDescent="0.3">
      <c r="A81" s="393" t="s">
        <v>407</v>
      </c>
      <c r="B81" s="394">
        <v>6.2996933978770542E-2</v>
      </c>
      <c r="C81" s="395">
        <v>2.554749802438392E-2</v>
      </c>
      <c r="D81" s="395">
        <v>0.34579839804888268</v>
      </c>
      <c r="E81" s="395">
        <v>0.16880496460845473</v>
      </c>
      <c r="F81" s="395">
        <v>0.39325414590744884</v>
      </c>
      <c r="G81" s="396">
        <v>3.5980594320566437E-3</v>
      </c>
    </row>
  </sheetData>
  <mergeCells count="5">
    <mergeCell ref="A2:G2"/>
    <mergeCell ref="A3:A4"/>
    <mergeCell ref="M4:X5"/>
    <mergeCell ref="A43:G43"/>
    <mergeCell ref="A44:A45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G16"/>
  <sheetViews>
    <sheetView workbookViewId="0">
      <selection activeCell="C2" sqref="C2"/>
    </sheetView>
  </sheetViews>
  <sheetFormatPr defaultRowHeight="15" x14ac:dyDescent="0.25"/>
  <cols>
    <col min="1" max="1" width="22.140625" customWidth="1"/>
    <col min="2" max="2" width="12.42578125" customWidth="1"/>
    <col min="3" max="3" width="14.5703125" customWidth="1"/>
    <col min="4" max="4" width="14.42578125" customWidth="1"/>
    <col min="5" max="5" width="14.5703125" customWidth="1"/>
    <col min="6" max="6" width="14.7109375" customWidth="1"/>
    <col min="7" max="7" width="14.85546875" customWidth="1"/>
  </cols>
  <sheetData>
    <row r="1" spans="1:7" ht="25.5" customHeight="1" x14ac:dyDescent="0.25"/>
    <row r="2" spans="1:7" ht="19.5" customHeight="1" x14ac:dyDescent="0.25">
      <c r="A2" s="491" t="s">
        <v>591</v>
      </c>
    </row>
    <row r="3" spans="1:7" ht="9" customHeight="1" thickBot="1" x14ac:dyDescent="0.3">
      <c r="A3" s="449"/>
    </row>
    <row r="4" spans="1:7" ht="15.75" thickBot="1" x14ac:dyDescent="0.3">
      <c r="A4" s="1220"/>
      <c r="B4" s="1207" t="s">
        <v>336</v>
      </c>
      <c r="C4" s="1207" t="s">
        <v>337</v>
      </c>
      <c r="D4" s="1210" t="s">
        <v>338</v>
      </c>
      <c r="E4" s="1211"/>
      <c r="F4" s="1211"/>
      <c r="G4" s="1212"/>
    </row>
    <row r="5" spans="1:7" ht="15.75" thickBot="1" x14ac:dyDescent="0.3">
      <c r="A5" s="1221"/>
      <c r="B5" s="1208"/>
      <c r="C5" s="1209"/>
      <c r="D5" s="1213" t="s">
        <v>339</v>
      </c>
      <c r="E5" s="1214"/>
      <c r="F5" s="1213" t="s">
        <v>340</v>
      </c>
      <c r="G5" s="1214"/>
    </row>
    <row r="6" spans="1:7" ht="31.5" customHeight="1" thickBot="1" x14ac:dyDescent="0.3">
      <c r="A6" s="1222"/>
      <c r="B6" s="1209"/>
      <c r="C6" s="492" t="s">
        <v>341</v>
      </c>
      <c r="D6" s="492" t="s">
        <v>588</v>
      </c>
      <c r="E6" s="492" t="s">
        <v>589</v>
      </c>
      <c r="F6" s="492" t="s">
        <v>588</v>
      </c>
      <c r="G6" s="492" t="s">
        <v>589</v>
      </c>
    </row>
    <row r="7" spans="1:7" ht="22.5" customHeight="1" x14ac:dyDescent="0.25">
      <c r="A7" s="497" t="s">
        <v>693</v>
      </c>
      <c r="B7" s="498" t="s">
        <v>83</v>
      </c>
      <c r="C7" s="499">
        <v>5982008</v>
      </c>
      <c r="D7" s="499">
        <v>9</v>
      </c>
      <c r="E7" s="499">
        <v>90</v>
      </c>
      <c r="F7" s="499">
        <v>234</v>
      </c>
      <c r="G7" s="499">
        <v>2340</v>
      </c>
    </row>
    <row r="8" spans="1:7" ht="17.100000000000001" customHeight="1" x14ac:dyDescent="0.25">
      <c r="A8" s="1215" t="s">
        <v>342</v>
      </c>
      <c r="B8" s="495" t="s">
        <v>343</v>
      </c>
      <c r="C8" s="496">
        <v>1168643</v>
      </c>
      <c r="D8" s="496">
        <v>2</v>
      </c>
      <c r="E8" s="496">
        <v>20</v>
      </c>
      <c r="F8" s="496">
        <v>52</v>
      </c>
      <c r="G8" s="496">
        <v>520</v>
      </c>
    </row>
    <row r="9" spans="1:7" ht="17.100000000000001" customHeight="1" x14ac:dyDescent="0.25">
      <c r="A9" s="1215"/>
      <c r="B9" s="500" t="s">
        <v>344</v>
      </c>
      <c r="C9" s="501">
        <v>267912</v>
      </c>
      <c r="D9" s="501">
        <v>1</v>
      </c>
      <c r="E9" s="501">
        <v>10</v>
      </c>
      <c r="F9" s="501">
        <v>26</v>
      </c>
      <c r="G9" s="501">
        <v>260</v>
      </c>
    </row>
    <row r="10" spans="1:7" ht="17.100000000000001" customHeight="1" x14ac:dyDescent="0.25">
      <c r="A10" s="1216" t="s">
        <v>345</v>
      </c>
      <c r="B10" s="502" t="s">
        <v>343</v>
      </c>
      <c r="C10" s="503">
        <v>958876</v>
      </c>
      <c r="D10" s="503">
        <v>1</v>
      </c>
      <c r="E10" s="503">
        <v>10</v>
      </c>
      <c r="F10" s="503">
        <v>26</v>
      </c>
      <c r="G10" s="503">
        <v>260</v>
      </c>
    </row>
    <row r="11" spans="1:7" ht="17.100000000000001" customHeight="1" x14ac:dyDescent="0.25">
      <c r="A11" s="1217"/>
      <c r="B11" s="504" t="s">
        <v>344</v>
      </c>
      <c r="C11" s="505">
        <v>634269</v>
      </c>
      <c r="D11" s="505">
        <v>1</v>
      </c>
      <c r="E11" s="505">
        <v>10</v>
      </c>
      <c r="F11" s="505">
        <v>26</v>
      </c>
      <c r="G11" s="505">
        <v>260</v>
      </c>
    </row>
    <row r="12" spans="1:7" ht="17.100000000000001" customHeight="1" x14ac:dyDescent="0.25">
      <c r="A12" s="1216" t="s">
        <v>346</v>
      </c>
      <c r="B12" s="502" t="s">
        <v>343</v>
      </c>
      <c r="C12" s="503">
        <v>799665</v>
      </c>
      <c r="D12" s="503">
        <v>1</v>
      </c>
      <c r="E12" s="503">
        <v>10</v>
      </c>
      <c r="F12" s="503">
        <v>26</v>
      </c>
      <c r="G12" s="503">
        <v>260</v>
      </c>
    </row>
    <row r="13" spans="1:7" ht="17.100000000000001" customHeight="1" x14ac:dyDescent="0.25">
      <c r="A13" s="1217"/>
      <c r="B13" s="504" t="s">
        <v>344</v>
      </c>
      <c r="C13" s="505">
        <v>849801</v>
      </c>
      <c r="D13" s="505">
        <v>1</v>
      </c>
      <c r="E13" s="505">
        <v>10</v>
      </c>
      <c r="F13" s="505">
        <v>26</v>
      </c>
      <c r="G13" s="505">
        <v>260</v>
      </c>
    </row>
    <row r="14" spans="1:7" ht="17.100000000000001" customHeight="1" x14ac:dyDescent="0.25">
      <c r="A14" s="1218" t="s">
        <v>347</v>
      </c>
      <c r="B14" s="506" t="s">
        <v>343</v>
      </c>
      <c r="C14" s="496">
        <v>673910</v>
      </c>
      <c r="D14" s="496">
        <v>1</v>
      </c>
      <c r="E14" s="496">
        <v>10</v>
      </c>
      <c r="F14" s="496">
        <v>26</v>
      </c>
      <c r="G14" s="496">
        <v>260</v>
      </c>
    </row>
    <row r="15" spans="1:7" ht="17.100000000000001" customHeight="1" thickBot="1" x14ac:dyDescent="0.3">
      <c r="A15" s="1219"/>
      <c r="B15" s="493" t="s">
        <v>344</v>
      </c>
      <c r="C15" s="494">
        <v>628932</v>
      </c>
      <c r="D15" s="494">
        <v>1</v>
      </c>
      <c r="E15" s="494">
        <v>10</v>
      </c>
      <c r="F15" s="494">
        <v>26</v>
      </c>
      <c r="G15" s="494">
        <v>260</v>
      </c>
    </row>
    <row r="16" spans="1:7" x14ac:dyDescent="0.25">
      <c r="A16" s="141"/>
    </row>
  </sheetData>
  <mergeCells count="10">
    <mergeCell ref="A8:A9"/>
    <mergeCell ref="A10:A11"/>
    <mergeCell ref="A12:A13"/>
    <mergeCell ref="A14:A15"/>
    <mergeCell ref="A4:A6"/>
    <mergeCell ref="B4:B6"/>
    <mergeCell ref="C4:C5"/>
    <mergeCell ref="D4:G4"/>
    <mergeCell ref="D5:E5"/>
    <mergeCell ref="F5:G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A55"/>
  <sheetViews>
    <sheetView topLeftCell="A16" workbookViewId="0">
      <selection activeCell="F16" sqref="F16"/>
    </sheetView>
  </sheetViews>
  <sheetFormatPr defaultRowHeight="15" x14ac:dyDescent="0.25"/>
  <cols>
    <col min="1" max="1" width="54.5703125" customWidth="1"/>
    <col min="2" max="2" width="15.7109375" customWidth="1"/>
    <col min="3" max="3" width="13.5703125" customWidth="1"/>
    <col min="15" max="15" width="11.28515625" customWidth="1"/>
  </cols>
  <sheetData>
    <row r="1" spans="1:14" ht="32.25" hidden="1" customHeight="1" x14ac:dyDescent="0.25">
      <c r="A1" s="1436" t="s">
        <v>328</v>
      </c>
      <c r="B1" s="1437"/>
      <c r="C1" s="1437"/>
      <c r="D1" s="1437"/>
      <c r="E1" s="1437"/>
      <c r="F1" s="1437"/>
      <c r="G1" s="1437"/>
      <c r="H1" s="1437"/>
      <c r="I1" s="1437"/>
      <c r="K1" t="s">
        <v>328</v>
      </c>
    </row>
    <row r="2" spans="1:14" ht="15.95" hidden="1" customHeight="1" x14ac:dyDescent="0.25">
      <c r="A2" s="185"/>
      <c r="B2" s="1438" t="s">
        <v>11</v>
      </c>
      <c r="C2" s="1439"/>
      <c r="D2" s="1439"/>
      <c r="E2" s="1440"/>
      <c r="F2" s="1441"/>
      <c r="G2" s="1442" t="s">
        <v>83</v>
      </c>
      <c r="H2" s="1443"/>
      <c r="I2" s="1443"/>
      <c r="L2" t="s">
        <v>11</v>
      </c>
      <c r="M2" t="s">
        <v>12</v>
      </c>
      <c r="N2" t="s">
        <v>11</v>
      </c>
    </row>
    <row r="3" spans="1:14" ht="24.75" hidden="1" x14ac:dyDescent="0.25">
      <c r="A3" s="186"/>
      <c r="B3" s="187" t="s">
        <v>276</v>
      </c>
      <c r="C3" s="188" t="s">
        <v>273</v>
      </c>
      <c r="D3" s="189" t="s">
        <v>280</v>
      </c>
      <c r="E3" s="188" t="s">
        <v>273</v>
      </c>
      <c r="F3" s="189" t="s">
        <v>280</v>
      </c>
      <c r="G3" s="188" t="s">
        <v>276</v>
      </c>
      <c r="H3" s="188" t="s">
        <v>273</v>
      </c>
      <c r="I3" s="189" t="s">
        <v>280</v>
      </c>
      <c r="L3" s="68" t="s">
        <v>280</v>
      </c>
      <c r="M3" s="68" t="s">
        <v>280</v>
      </c>
      <c r="N3" s="68" t="s">
        <v>280</v>
      </c>
    </row>
    <row r="4" spans="1:14" hidden="1" x14ac:dyDescent="0.25">
      <c r="A4" s="190" t="s">
        <v>230</v>
      </c>
      <c r="B4" s="191">
        <v>130.17446466788135</v>
      </c>
      <c r="C4" s="192">
        <v>146.39949249899379</v>
      </c>
      <c r="D4" s="193">
        <v>134.85537549235659</v>
      </c>
      <c r="E4" s="192">
        <v>59.780636008881537</v>
      </c>
      <c r="F4" s="193">
        <v>53.172187930574161</v>
      </c>
      <c r="G4" s="192">
        <v>108.64139124437717</v>
      </c>
      <c r="H4" s="192">
        <v>122.7144002365396</v>
      </c>
      <c r="I4" s="193">
        <v>112.71477817852974</v>
      </c>
      <c r="K4" t="s">
        <v>230</v>
      </c>
      <c r="L4" s="1">
        <v>134.85537549235659</v>
      </c>
      <c r="M4" s="1">
        <v>53.172187930574161</v>
      </c>
      <c r="N4" s="1">
        <v>134.85537549235659</v>
      </c>
    </row>
    <row r="5" spans="1:14" hidden="1" x14ac:dyDescent="0.25">
      <c r="A5" s="190" t="s">
        <v>224</v>
      </c>
      <c r="B5" s="191">
        <v>65.135037401588576</v>
      </c>
      <c r="C5" s="192">
        <v>73.566779531156342</v>
      </c>
      <c r="D5" s="193">
        <v>67.688176299006471</v>
      </c>
      <c r="E5" s="192">
        <v>74.286449842791441</v>
      </c>
      <c r="F5" s="193">
        <v>69.83528349438653</v>
      </c>
      <c r="G5" s="192">
        <v>65.984768479566853</v>
      </c>
      <c r="H5" s="192">
        <v>73.84782762751</v>
      </c>
      <c r="I5" s="193">
        <v>68.46958177245034</v>
      </c>
      <c r="K5" t="s">
        <v>224</v>
      </c>
      <c r="L5" s="1">
        <v>67.688176299006471</v>
      </c>
      <c r="M5" s="1">
        <v>69.83528349438653</v>
      </c>
      <c r="N5" s="1">
        <v>67.688176299006471</v>
      </c>
    </row>
    <row r="6" spans="1:14" hidden="1" x14ac:dyDescent="0.25">
      <c r="A6" s="190" t="s">
        <v>226</v>
      </c>
      <c r="B6" s="191">
        <v>52.634580316917415</v>
      </c>
      <c r="C6" s="192">
        <v>54.629062321628879</v>
      </c>
      <c r="D6" s="193">
        <v>53.183749649014445</v>
      </c>
      <c r="E6" s="192">
        <v>25.981874465002125</v>
      </c>
      <c r="F6" s="193">
        <v>26.220816098447461</v>
      </c>
      <c r="G6" s="192">
        <v>50.8163343755987</v>
      </c>
      <c r="H6" s="192">
        <v>52.405996142420655</v>
      </c>
      <c r="I6" s="193">
        <v>51.256952633113428</v>
      </c>
      <c r="K6" t="s">
        <v>226</v>
      </c>
      <c r="L6" s="1">
        <v>53.183749649014445</v>
      </c>
      <c r="M6" s="1">
        <v>26.220816098447461</v>
      </c>
      <c r="N6" s="1">
        <v>53.183749649014445</v>
      </c>
    </row>
    <row r="7" spans="1:14" hidden="1" x14ac:dyDescent="0.25">
      <c r="A7" s="190" t="s">
        <v>233</v>
      </c>
      <c r="B7" s="191">
        <v>83.109309440732787</v>
      </c>
      <c r="C7" s="192">
        <v>86.696189717918855</v>
      </c>
      <c r="D7" s="193">
        <v>84.122719744868533</v>
      </c>
      <c r="E7" s="192">
        <v>125.34872180955456</v>
      </c>
      <c r="F7" s="193">
        <v>121.67281170847018</v>
      </c>
      <c r="G7" s="192">
        <v>100.03251143766643</v>
      </c>
      <c r="H7" s="192">
        <v>105.92394490182294</v>
      </c>
      <c r="I7" s="193">
        <v>101.78660318706595</v>
      </c>
      <c r="K7" t="s">
        <v>233</v>
      </c>
      <c r="L7" s="1">
        <v>84.122719744868533</v>
      </c>
      <c r="M7" s="1">
        <v>121.67281170847018</v>
      </c>
      <c r="N7" s="1">
        <v>84.122719744868533</v>
      </c>
    </row>
    <row r="8" spans="1:14" hidden="1" x14ac:dyDescent="0.25">
      <c r="A8" s="190" t="s">
        <v>223</v>
      </c>
      <c r="B8" s="191">
        <v>45.575051232929816</v>
      </c>
      <c r="C8" s="192">
        <v>88.250106762049171</v>
      </c>
      <c r="D8" s="193">
        <v>62.933528017647156</v>
      </c>
      <c r="E8" s="192">
        <v>97.728148755838504</v>
      </c>
      <c r="F8" s="193">
        <v>98.47669519492581</v>
      </c>
      <c r="G8" s="192">
        <v>95.160948088056557</v>
      </c>
      <c r="H8" s="192">
        <v>96.956927552711974</v>
      </c>
      <c r="I8" s="193">
        <v>95.829590040041182</v>
      </c>
      <c r="K8" t="s">
        <v>223</v>
      </c>
      <c r="L8" s="1">
        <v>62.933528017647156</v>
      </c>
      <c r="M8" s="1">
        <v>98.47669519492581</v>
      </c>
      <c r="N8" s="1">
        <v>62.933528017647156</v>
      </c>
    </row>
    <row r="9" spans="1:14" hidden="1" x14ac:dyDescent="0.25">
      <c r="A9" s="190" t="s">
        <v>227</v>
      </c>
      <c r="B9" s="191">
        <v>38.034349505764624</v>
      </c>
      <c r="C9" s="192">
        <v>52.419674376042082</v>
      </c>
      <c r="D9" s="193">
        <v>41.629408774540835</v>
      </c>
      <c r="E9" s="192">
        <v>41.801334193442216</v>
      </c>
      <c r="F9" s="193">
        <v>39.457585308227003</v>
      </c>
      <c r="G9" s="192">
        <v>38.267721303671621</v>
      </c>
      <c r="H9" s="192">
        <v>47.081116092427173</v>
      </c>
      <c r="I9" s="193">
        <v>40.602121734033801</v>
      </c>
      <c r="K9" t="s">
        <v>227</v>
      </c>
      <c r="L9" s="1">
        <v>41.629408774540835</v>
      </c>
      <c r="M9" s="1">
        <v>39.457585308227003</v>
      </c>
      <c r="N9" s="1">
        <v>41.629408774540835</v>
      </c>
    </row>
    <row r="10" spans="1:14" hidden="1" x14ac:dyDescent="0.25">
      <c r="A10" s="190" t="s">
        <v>225</v>
      </c>
      <c r="B10" s="191">
        <v>52.032707732002535</v>
      </c>
      <c r="C10" s="192">
        <v>25.024642474802135</v>
      </c>
      <c r="D10" s="193">
        <v>43.56708242482064</v>
      </c>
      <c r="E10" s="192">
        <v>39.713073784623191</v>
      </c>
      <c r="F10" s="193">
        <v>41.584600790908986</v>
      </c>
      <c r="G10" s="192">
        <v>47.372331995988411</v>
      </c>
      <c r="H10" s="192">
        <v>32.401650649603653</v>
      </c>
      <c r="I10" s="193">
        <v>42.590248167302548</v>
      </c>
      <c r="K10" t="s">
        <v>225</v>
      </c>
      <c r="L10" s="1">
        <v>43.56708242482064</v>
      </c>
      <c r="M10" s="1">
        <v>41.584600790908986</v>
      </c>
      <c r="N10" s="1">
        <v>43.56708242482064</v>
      </c>
    </row>
    <row r="11" spans="1:14" hidden="1" x14ac:dyDescent="0.25">
      <c r="A11" s="190" t="s">
        <v>228</v>
      </c>
      <c r="B11" s="191">
        <v>146.4373775501121</v>
      </c>
      <c r="C11" s="192">
        <v>145.25930112391953</v>
      </c>
      <c r="D11" s="193">
        <v>146.12328497767604</v>
      </c>
      <c r="E11" s="192">
        <v>100.69785882327946</v>
      </c>
      <c r="F11" s="193">
        <v>99.139420263940735</v>
      </c>
      <c r="G11" s="192">
        <v>129.02303047707642</v>
      </c>
      <c r="H11" s="192">
        <v>127.43658110650756</v>
      </c>
      <c r="I11" s="193">
        <v>128.58131158527385</v>
      </c>
      <c r="K11" t="s">
        <v>228</v>
      </c>
      <c r="L11" s="1">
        <v>146.12328497767604</v>
      </c>
      <c r="M11" s="1">
        <v>99.139420263940735</v>
      </c>
      <c r="N11" s="1">
        <v>146.12328497767604</v>
      </c>
    </row>
    <row r="12" spans="1:14" hidden="1" x14ac:dyDescent="0.25">
      <c r="A12" s="190" t="s">
        <v>232</v>
      </c>
      <c r="B12" s="191">
        <v>75.66366802699784</v>
      </c>
      <c r="C12" s="192">
        <v>70.463799156742397</v>
      </c>
      <c r="D12" s="193">
        <v>73.918120416687529</v>
      </c>
      <c r="E12" s="192">
        <v>85.004593020777122</v>
      </c>
      <c r="F12" s="193">
        <v>63.172685510567923</v>
      </c>
      <c r="G12" s="192">
        <v>68.358060489287851</v>
      </c>
      <c r="H12" s="192">
        <v>74.120427162603562</v>
      </c>
      <c r="I12" s="193">
        <v>70.000009561710357</v>
      </c>
      <c r="K12" t="s">
        <v>232</v>
      </c>
      <c r="L12" s="1">
        <v>73.918120416687529</v>
      </c>
      <c r="M12" s="1">
        <v>63.172685510567923</v>
      </c>
      <c r="N12" s="1">
        <v>73.918120416687529</v>
      </c>
    </row>
    <row r="13" spans="1:14" ht="24" hidden="1" x14ac:dyDescent="0.25">
      <c r="A13" s="190" t="s">
        <v>231</v>
      </c>
      <c r="B13" s="191">
        <v>160</v>
      </c>
      <c r="C13" s="192">
        <v>89.081715240208055</v>
      </c>
      <c r="D13" s="193">
        <v>120.92983596560504</v>
      </c>
      <c r="E13" s="192">
        <v>220.05925402498053</v>
      </c>
      <c r="F13" s="193">
        <v>121.50092035171164</v>
      </c>
      <c r="G13" s="192">
        <v>84.729903947620215</v>
      </c>
      <c r="H13" s="192">
        <v>183.91673581291542</v>
      </c>
      <c r="I13" s="193">
        <v>121.39518120220778</v>
      </c>
      <c r="K13" t="s">
        <v>231</v>
      </c>
      <c r="L13" s="1">
        <v>120.92983596560504</v>
      </c>
      <c r="M13" s="1">
        <v>121.50092035171164</v>
      </c>
      <c r="N13" s="1">
        <v>120.92983596560504</v>
      </c>
    </row>
    <row r="14" spans="1:14" hidden="1" x14ac:dyDescent="0.25">
      <c r="A14" s="190" t="s">
        <v>229</v>
      </c>
      <c r="B14" s="191">
        <v>38.130910297855941</v>
      </c>
      <c r="C14" s="192">
        <v>39.03561193727478</v>
      </c>
      <c r="D14" s="193">
        <v>38.362491146803585</v>
      </c>
      <c r="E14" s="192">
        <v>42.09477991783632</v>
      </c>
      <c r="F14" s="193">
        <v>38.915753812184612</v>
      </c>
      <c r="G14" s="192">
        <v>37.930259972503393</v>
      </c>
      <c r="H14" s="192">
        <v>40.557319179940308</v>
      </c>
      <c r="I14" s="193">
        <v>38.627466094287499</v>
      </c>
      <c r="K14" t="s">
        <v>229</v>
      </c>
      <c r="L14" s="1">
        <v>38.362491146803585</v>
      </c>
      <c r="M14" s="1">
        <v>38.915753812184612</v>
      </c>
      <c r="N14" s="1">
        <v>38.362491146803585</v>
      </c>
    </row>
    <row r="15" spans="1:14" ht="24.95" hidden="1" customHeight="1" x14ac:dyDescent="0.25">
      <c r="A15" s="1434" t="s">
        <v>329</v>
      </c>
      <c r="B15" s="1435"/>
      <c r="C15" s="1435"/>
      <c r="D15" s="1435"/>
      <c r="E15" s="1435"/>
      <c r="F15" s="1435"/>
      <c r="G15" s="1435"/>
      <c r="H15" s="1435"/>
      <c r="I15" s="1435"/>
      <c r="K15" s="78" t="s">
        <v>329</v>
      </c>
    </row>
    <row r="16" spans="1:14" ht="24.95" customHeight="1" x14ac:dyDescent="0.25">
      <c r="A16" s="400"/>
      <c r="B16" s="401"/>
      <c r="C16" s="401"/>
      <c r="D16" s="401"/>
      <c r="E16" s="401"/>
      <c r="F16" s="401"/>
      <c r="G16" s="401"/>
      <c r="H16" s="401"/>
      <c r="I16" s="401"/>
      <c r="K16" s="78"/>
    </row>
    <row r="17" spans="1:27" ht="31.5" customHeight="1" x14ac:dyDescent="0.25">
      <c r="A17" s="1449" t="s">
        <v>477</v>
      </c>
      <c r="B17" s="1449"/>
      <c r="C17" s="1449"/>
      <c r="D17" s="408"/>
      <c r="E17" s="408"/>
      <c r="F17" s="1449" t="s">
        <v>478</v>
      </c>
      <c r="G17" s="1449"/>
      <c r="H17" s="1449"/>
      <c r="I17" s="1449"/>
      <c r="J17" s="1449"/>
      <c r="K17" s="1449"/>
      <c r="L17" s="1449"/>
      <c r="M17" s="1449"/>
      <c r="N17" s="1449"/>
      <c r="O17" s="1449"/>
    </row>
    <row r="18" spans="1:27" ht="17.25" customHeight="1" x14ac:dyDescent="0.25">
      <c r="A18" s="1449"/>
      <c r="B18" s="1449"/>
      <c r="C18" s="1449"/>
      <c r="D18" s="408"/>
      <c r="E18" s="408"/>
      <c r="F18" s="1449"/>
      <c r="G18" s="1449"/>
      <c r="H18" s="1449"/>
      <c r="I18" s="1449"/>
      <c r="J18" s="1449"/>
      <c r="K18" s="1449"/>
      <c r="L18" s="1449"/>
      <c r="M18" s="1449"/>
      <c r="N18" s="1449"/>
      <c r="O18" s="1449"/>
    </row>
    <row r="19" spans="1:27" ht="15" hidden="1" customHeight="1" x14ac:dyDescent="0.25">
      <c r="A19" s="72"/>
      <c r="B19" s="1444" t="s">
        <v>11</v>
      </c>
      <c r="C19" s="1445"/>
      <c r="D19" s="1445"/>
      <c r="E19" s="1446"/>
      <c r="F19" s="1447"/>
      <c r="G19" s="1448" t="s">
        <v>83</v>
      </c>
      <c r="H19" s="1445"/>
      <c r="I19" s="1445"/>
    </row>
    <row r="20" spans="1:27" ht="24.75" hidden="1" x14ac:dyDescent="0.25">
      <c r="A20" s="73"/>
      <c r="B20" s="67" t="s">
        <v>276</v>
      </c>
      <c r="C20" s="68" t="s">
        <v>273</v>
      </c>
      <c r="D20" s="68" t="s">
        <v>280</v>
      </c>
      <c r="E20" s="68" t="s">
        <v>273</v>
      </c>
      <c r="F20" s="68" t="s">
        <v>280</v>
      </c>
      <c r="G20" s="68" t="s">
        <v>276</v>
      </c>
      <c r="H20" s="68" t="s">
        <v>273</v>
      </c>
      <c r="I20" s="68" t="s">
        <v>280</v>
      </c>
      <c r="L20" s="68" t="s">
        <v>280</v>
      </c>
      <c r="M20" s="68" t="s">
        <v>280</v>
      </c>
    </row>
    <row r="21" spans="1:27" hidden="1" x14ac:dyDescent="0.25">
      <c r="A21" s="41" t="s">
        <v>230</v>
      </c>
      <c r="B21" t="e">
        <f ca="1">ТЕXТ(Б4/1440,"х:мм")</f>
        <v>#NAME?</v>
      </c>
      <c r="C21" t="e">
        <f ca="1">ТЕXТ(Ц4/1440,"х:мм")</f>
        <v>#NAME?</v>
      </c>
      <c r="D21" t="e">
        <f ca="1">ТЕXТ(Д4/1440,"х:мм")</f>
        <v>#NAME?</v>
      </c>
      <c r="E21" t="e">
        <f ca="1">ТЕXТ(Ф4/1440,"х:мм")</f>
        <v>#NAME?</v>
      </c>
      <c r="F21" t="e">
        <f ca="1">ТЕXТ(Г4/1440,"х:мм")</f>
        <v>#NAME?</v>
      </c>
      <c r="G21" t="e">
        <f ca="1">ТЕXТ(Х4/1440,"х:мм")</f>
        <v>#NAME?</v>
      </c>
      <c r="H21" t="e">
        <f ca="1">ТЕXТ(И4/1440,"х:мм")</f>
        <v>#NAME?</v>
      </c>
      <c r="I21" t="e">
        <f ca="1">ТЕXТ(Ј4/1440,"х:мм")</f>
        <v>#NAME?</v>
      </c>
      <c r="K21" t="s">
        <v>230</v>
      </c>
      <c r="L21" t="e">
        <f ca="1">ТЕXТ(М4/1440,"х:мм")</f>
        <v>#NAME?</v>
      </c>
      <c r="M21" t="e">
        <f ca="1">ТЕXТ(Н4/1440,"х:мм")</f>
        <v>#NAME?</v>
      </c>
    </row>
    <row r="22" spans="1:27" hidden="1" x14ac:dyDescent="0.25">
      <c r="A22" s="41" t="s">
        <v>224</v>
      </c>
      <c r="B22" t="e">
        <f ca="1">ТЕXТ(Б5/1440,"х:мм")</f>
        <v>#NAME?</v>
      </c>
      <c r="C22" t="e">
        <f ca="1">ТЕXТ(Ц5/1440,"х:мм")</f>
        <v>#NAME?</v>
      </c>
      <c r="D22" t="e">
        <f ca="1">ТЕXТ(Д5/1440,"х:мм")</f>
        <v>#NAME?</v>
      </c>
      <c r="E22" t="e">
        <f ca="1">ТЕXТ(Ф5/1440,"х:мм")</f>
        <v>#NAME?</v>
      </c>
      <c r="F22" t="e">
        <f ca="1">ТЕXТ(Г5/1440,"х:мм")</f>
        <v>#NAME?</v>
      </c>
      <c r="G22" t="e">
        <f ca="1">ТЕXТ(Х5/1440,"х:мм")</f>
        <v>#NAME?</v>
      </c>
      <c r="H22" t="e">
        <f ca="1">ТЕXТ(И5/1440,"х:мм")</f>
        <v>#NAME?</v>
      </c>
      <c r="I22" t="e">
        <f ca="1">ТЕXТ(Ј5/1440,"х:мм")</f>
        <v>#NAME?</v>
      </c>
      <c r="K22" t="s">
        <v>224</v>
      </c>
      <c r="L22" t="e">
        <f ca="1">ТЕXТ(М5/1440,"х:мм")</f>
        <v>#NAME?</v>
      </c>
      <c r="M22" t="e">
        <f ca="1">ТЕXТ(Н5/1440,"х:мм")</f>
        <v>#NAME?</v>
      </c>
    </row>
    <row r="23" spans="1:27" hidden="1" x14ac:dyDescent="0.25">
      <c r="A23" s="41" t="s">
        <v>226</v>
      </c>
      <c r="B23" t="e">
        <f ca="1">ТЕXТ(Б6/1440,"х:мм")</f>
        <v>#NAME?</v>
      </c>
      <c r="C23" t="e">
        <f ca="1">ТЕXТ(Ц6/1440,"х:мм")</f>
        <v>#NAME?</v>
      </c>
      <c r="D23" t="e">
        <f ca="1">ТЕXТ(Д6/1440,"х:мм")</f>
        <v>#NAME?</v>
      </c>
      <c r="E23" t="e">
        <f ca="1">ТЕXТ(Ф6/1440,"х:мм")</f>
        <v>#NAME?</v>
      </c>
      <c r="F23" t="e">
        <f ca="1">ТЕXТ(Г6/1440,"х:мм")</f>
        <v>#NAME?</v>
      </c>
      <c r="G23" t="e">
        <f ca="1">ТЕXТ(Х6/1440,"х:мм")</f>
        <v>#NAME?</v>
      </c>
      <c r="H23" t="e">
        <f ca="1">ТЕXТ(И6/1440,"х:мм")</f>
        <v>#NAME?</v>
      </c>
      <c r="I23" t="e">
        <f ca="1">ТЕXТ(Ј6/1440,"х:мм")</f>
        <v>#NAME?</v>
      </c>
      <c r="K23" t="s">
        <v>226</v>
      </c>
      <c r="L23" t="e">
        <f ca="1">ТЕXТ(М6/1440,"х:мм")</f>
        <v>#NAME?</v>
      </c>
      <c r="M23" t="e">
        <f ca="1">ТЕXТ(Н6/1440,"х:мм")</f>
        <v>#NAME?</v>
      </c>
      <c r="Q23" s="61" t="s">
        <v>55</v>
      </c>
      <c r="R23" s="1432"/>
      <c r="S23" s="1433"/>
      <c r="T23" s="54"/>
    </row>
    <row r="24" spans="1:27" hidden="1" x14ac:dyDescent="0.25">
      <c r="A24" s="41" t="s">
        <v>233</v>
      </c>
      <c r="B24" t="e">
        <f ca="1">ТЕXТ(Б7/1440,"х:мм")</f>
        <v>#NAME?</v>
      </c>
      <c r="C24" t="e">
        <f ca="1">ТЕXТ(Ц7/1440,"х:мм")</f>
        <v>#NAME?</v>
      </c>
      <c r="D24" t="e">
        <f ca="1">ТЕXТ(Д7/1440,"х:мм")</f>
        <v>#NAME?</v>
      </c>
      <c r="E24" t="e">
        <f ca="1">ТЕXТ(Ф7/1440,"х:мм")</f>
        <v>#NAME?</v>
      </c>
      <c r="F24" t="e">
        <f ca="1">ТЕXТ(Г7/1440,"х:мм")</f>
        <v>#NAME?</v>
      </c>
      <c r="G24" t="e">
        <f ca="1">ТЕXТ(Х7/1440,"х:мм")</f>
        <v>#NAME?</v>
      </c>
      <c r="H24" t="e">
        <f ca="1">ТЕXТ(И7/1440,"х:мм")</f>
        <v>#NAME?</v>
      </c>
      <c r="I24" t="e">
        <f ca="1">ТЕXТ(Ј7/1440,"х:мм")</f>
        <v>#NAME?</v>
      </c>
      <c r="K24" t="s">
        <v>233</v>
      </c>
      <c r="L24" t="e">
        <f ca="1">ТЕXТ(М7/1440,"х:мм")</f>
        <v>#NAME?</v>
      </c>
      <c r="M24" t="e">
        <f ca="1">ТЕXТ(Н7/1440,"х:мм")</f>
        <v>#NAME?</v>
      </c>
      <c r="Q24" s="61"/>
      <c r="R24" s="69" t="s">
        <v>12</v>
      </c>
      <c r="S24" s="70" t="s">
        <v>11</v>
      </c>
      <c r="T24" s="54"/>
      <c r="U24" s="61"/>
      <c r="V24" s="69" t="s">
        <v>12</v>
      </c>
      <c r="W24" s="70" t="s">
        <v>11</v>
      </c>
      <c r="Y24" s="61"/>
      <c r="Z24" s="69" t="s">
        <v>12</v>
      </c>
      <c r="AA24" s="70" t="s">
        <v>11</v>
      </c>
    </row>
    <row r="25" spans="1:27" hidden="1" x14ac:dyDescent="0.25">
      <c r="A25" s="41" t="s">
        <v>223</v>
      </c>
      <c r="B25" t="e">
        <f ca="1">ТЕXТ(Б8/1440,"х:мм")</f>
        <v>#NAME?</v>
      </c>
      <c r="C25" t="e">
        <f ca="1">ТЕXТ(Ц8/1440,"х:мм")</f>
        <v>#NAME?</v>
      </c>
      <c r="D25" t="e">
        <f ca="1">ТЕXТ(Д8/1440,"х:мм")</f>
        <v>#NAME?</v>
      </c>
      <c r="E25" t="e">
        <f ca="1">ТЕXТ(Ф8/1440,"х:мм")</f>
        <v>#NAME?</v>
      </c>
      <c r="F25" t="e">
        <f ca="1">ТЕXТ(Г8/1440,"х:мм")</f>
        <v>#NAME?</v>
      </c>
      <c r="G25" t="e">
        <f ca="1">ТЕXТ(Х8/1440,"х:мм")</f>
        <v>#NAME?</v>
      </c>
      <c r="H25" t="e">
        <f ca="1">ТЕXТ(И8/1440,"х:мм")</f>
        <v>#NAME?</v>
      </c>
      <c r="I25" t="e">
        <f ca="1">ТЕXТ(Ј8/1440,"х:мм")</f>
        <v>#NAME?</v>
      </c>
      <c r="K25" t="s">
        <v>223</v>
      </c>
      <c r="L25" t="e">
        <f ca="1">ТЕXТ(М8/1440,"х:мм")</f>
        <v>#NAME?</v>
      </c>
      <c r="M25" t="e">
        <f ca="1">ТЕXТ(Н8/1440,"х:мм")</f>
        <v>#NAME?</v>
      </c>
      <c r="Q25" s="74" t="s">
        <v>74</v>
      </c>
      <c r="R25" s="55">
        <v>20.397980397980408</v>
      </c>
      <c r="S25" s="56">
        <v>128.85805763073654</v>
      </c>
      <c r="T25" s="54"/>
      <c r="U25" s="74" t="s">
        <v>74</v>
      </c>
      <c r="V25" t="e">
        <f>С24/60</f>
        <v>#NAME?</v>
      </c>
      <c r="W25" t="e">
        <f>Т24/60</f>
        <v>#NAME?</v>
      </c>
      <c r="Y25" s="74" t="s">
        <v>74</v>
      </c>
      <c r="Z25" t="e">
        <f ca="1">ТЕXТ(С24/1440,"х:мм")</f>
        <v>#NAME?</v>
      </c>
      <c r="AA25" t="e">
        <f ca="1">ТЕXТ(Т24/1440,"х:мм")</f>
        <v>#NAME?</v>
      </c>
    </row>
    <row r="26" spans="1:27" hidden="1" x14ac:dyDescent="0.25">
      <c r="A26" s="41" t="s">
        <v>227</v>
      </c>
      <c r="B26" t="e">
        <f ca="1">ТЕXТ(Б9/1440,"х:мм")</f>
        <v>#NAME?</v>
      </c>
      <c r="C26" t="e">
        <f ca="1">ТЕXТ(Ц9/1440,"х:мм")</f>
        <v>#NAME?</v>
      </c>
      <c r="D26" t="e">
        <f ca="1">ТЕXТ(Д9/1440,"х:мм")</f>
        <v>#NAME?</v>
      </c>
      <c r="E26" t="e">
        <f ca="1">ТЕXТ(Ф9/1440,"х:мм")</f>
        <v>#NAME?</v>
      </c>
      <c r="F26" t="e">
        <f ca="1">ТЕXТ(Г9/1440,"х:мм")</f>
        <v>#NAME?</v>
      </c>
      <c r="G26" t="e">
        <f ca="1">ТЕXТ(Х9/1440,"х:мм")</f>
        <v>#NAME?</v>
      </c>
      <c r="H26" t="e">
        <f ca="1">ТЕXТ(И9/1440,"х:мм")</f>
        <v>#NAME?</v>
      </c>
      <c r="I26" t="e">
        <f ca="1">ТЕXТ(Ј9/1440,"х:мм")</f>
        <v>#NAME?</v>
      </c>
      <c r="K26" t="s">
        <v>227</v>
      </c>
      <c r="L26" t="e">
        <f ca="1">ТЕXТ(М9/1440,"х:мм")</f>
        <v>#NAME?</v>
      </c>
      <c r="M26" t="e">
        <f ca="1">ТЕXТ(Н9/1440,"х:мм")</f>
        <v>#NAME?</v>
      </c>
      <c r="Q26" s="75" t="s">
        <v>69</v>
      </c>
      <c r="R26" s="57">
        <v>33.154143154143121</v>
      </c>
      <c r="S26" s="58">
        <v>47.972251867662763</v>
      </c>
      <c r="T26" s="54"/>
      <c r="U26" s="75" t="s">
        <v>69</v>
      </c>
      <c r="V26" t="e">
        <f>С25/60</f>
        <v>#NAME?</v>
      </c>
      <c r="W26" t="e">
        <f>Т25/60</f>
        <v>#NAME?</v>
      </c>
      <c r="Y26" s="75" t="s">
        <v>69</v>
      </c>
      <c r="Z26" t="e">
        <f ca="1">ТЕXТ(С25/1440,"х:мм")</f>
        <v>#NAME?</v>
      </c>
      <c r="AA26" t="e">
        <f ca="1">ТЕXТ(Т25/1440,"х:мм")</f>
        <v>#NAME?</v>
      </c>
    </row>
    <row r="27" spans="1:27" hidden="1" x14ac:dyDescent="0.25">
      <c r="A27" s="41" t="s">
        <v>225</v>
      </c>
      <c r="B27" t="e">
        <f ca="1">ТЕXТ(Б10/1440,"х:мм")</f>
        <v>#NAME?</v>
      </c>
      <c r="C27" t="e">
        <f ca="1">ТЕXТ(Ц10/1440,"х:мм")</f>
        <v>#NAME?</v>
      </c>
      <c r="D27" t="e">
        <f ca="1">ТЕXТ(Д10/1440,"х:мм")</f>
        <v>#NAME?</v>
      </c>
      <c r="E27" t="e">
        <f ca="1">ТЕXТ(Ф10/1440,"х:мм")</f>
        <v>#NAME?</v>
      </c>
      <c r="F27" t="e">
        <f ca="1">ТЕXТ(Г10/1440,"х:мм")</f>
        <v>#NAME?</v>
      </c>
      <c r="G27" t="e">
        <f ca="1">ТЕXТ(Х10/1440,"х:мм")</f>
        <v>#NAME?</v>
      </c>
      <c r="H27" t="e">
        <f ca="1">ТЕXТ(И10/1440,"х:мм")</f>
        <v>#NAME?</v>
      </c>
      <c r="I27" t="e">
        <f ca="1">ТЕXТ(Ј10/1440,"х:мм")</f>
        <v>#NAME?</v>
      </c>
      <c r="K27" t="s">
        <v>225</v>
      </c>
      <c r="L27" t="e">
        <f ca="1">ТЕXТ(М10/1440,"х:мм")</f>
        <v>#NAME?</v>
      </c>
      <c r="M27" t="e">
        <f ca="1">ТЕXТ(Н10/1440,"х:мм")</f>
        <v>#NAME?</v>
      </c>
      <c r="Q27" s="75" t="s">
        <v>70</v>
      </c>
      <c r="R27" s="57">
        <v>0.56133056133056136</v>
      </c>
      <c r="S27" s="58">
        <v>15.472251867662736</v>
      </c>
      <c r="T27" s="54"/>
      <c r="U27" s="75" t="s">
        <v>70</v>
      </c>
      <c r="V27" t="e">
        <f>С26/60</f>
        <v>#NAME?</v>
      </c>
      <c r="W27" t="e">
        <f>Т26/60</f>
        <v>#NAME?</v>
      </c>
      <c r="Y27" s="75" t="s">
        <v>70</v>
      </c>
      <c r="Z27" t="e">
        <f ca="1">ТЕXТ(С26/1440,"х:мм")</f>
        <v>#NAME?</v>
      </c>
      <c r="AA27" t="e">
        <f ca="1">ТЕXТ(Т26/1440,"х:мм")</f>
        <v>#NAME?</v>
      </c>
    </row>
    <row r="28" spans="1:27" hidden="1" x14ac:dyDescent="0.25">
      <c r="A28" s="41" t="s">
        <v>228</v>
      </c>
      <c r="B28" t="e">
        <f ca="1">ТЕXТ(Б11/1440,"х:мм")</f>
        <v>#NAME?</v>
      </c>
      <c r="C28" t="e">
        <f ca="1">ТЕXТ(Ц11/1440,"х:мм")</f>
        <v>#NAME?</v>
      </c>
      <c r="D28" t="e">
        <f ca="1">ТЕXТ(Д11/1440,"х:мм")</f>
        <v>#NAME?</v>
      </c>
      <c r="E28" t="e">
        <f ca="1">ТЕXТ(Ф11/1440,"х:мм")</f>
        <v>#NAME?</v>
      </c>
      <c r="F28" t="e">
        <f ca="1">ТЕXТ(Г11/1440,"х:мм")</f>
        <v>#NAME?</v>
      </c>
      <c r="G28" t="e">
        <f ca="1">ТЕXТ(Х11/1440,"х:мм")</f>
        <v>#NAME?</v>
      </c>
      <c r="H28" t="e">
        <f ca="1">ТЕXТ(И11/1440,"х:мм")</f>
        <v>#NAME?</v>
      </c>
      <c r="I28" t="e">
        <f ca="1">ТЕXТ(Ј11/1440,"х:мм")</f>
        <v>#NAME?</v>
      </c>
      <c r="K28" t="s">
        <v>228</v>
      </c>
      <c r="L28" t="e">
        <f ca="1">ТЕXТ(М11/1440,"х:мм")</f>
        <v>#NAME?</v>
      </c>
      <c r="M28" t="e">
        <f ca="1">ТЕXТ(Н11/1440,"х:мм")</f>
        <v>#NAME?</v>
      </c>
      <c r="Q28" s="75" t="s">
        <v>71</v>
      </c>
      <c r="R28" s="57">
        <v>9.5277695277694985</v>
      </c>
      <c r="S28" s="58">
        <v>20.101387406616816</v>
      </c>
      <c r="T28" s="54"/>
      <c r="U28" s="75" t="s">
        <v>71</v>
      </c>
      <c r="V28" t="e">
        <f>С27/60</f>
        <v>#NAME?</v>
      </c>
      <c r="W28" t="e">
        <f>Т27/60</f>
        <v>#NAME?</v>
      </c>
      <c r="Y28" s="75" t="s">
        <v>71</v>
      </c>
      <c r="Z28" t="e">
        <f ca="1">ТЕXТ(С27/1440,"х:мм")</f>
        <v>#NAME?</v>
      </c>
      <c r="AA28" t="e">
        <f ca="1">ТЕXТ(Т27/1440,"х:мм")</f>
        <v>#NAME?</v>
      </c>
    </row>
    <row r="29" spans="1:27" hidden="1" x14ac:dyDescent="0.25">
      <c r="A29" s="41" t="s">
        <v>232</v>
      </c>
      <c r="B29" t="e">
        <f ca="1">ТЕXТ(Б12/1440,"х:мм")</f>
        <v>#NAME?</v>
      </c>
      <c r="C29" t="e">
        <f ca="1">ТЕXТ(Ц12/1440,"х:мм")</f>
        <v>#NAME?</v>
      </c>
      <c r="D29" t="e">
        <f ca="1">ТЕXТ(Д12/1440,"х:мм")</f>
        <v>#NAME?</v>
      </c>
      <c r="E29" t="e">
        <f ca="1">ТЕXТ(Ф12/1440,"х:мм")</f>
        <v>#NAME?</v>
      </c>
      <c r="F29" t="e">
        <f ca="1">ТЕXТ(Г12/1440,"х:мм")</f>
        <v>#NAME?</v>
      </c>
      <c r="G29" t="e">
        <f ca="1">ТЕXТ(Х12/1440,"х:мм")</f>
        <v>#NAME?</v>
      </c>
      <c r="H29" t="e">
        <f ca="1">ТЕXТ(И12/1440,"х:мм")</f>
        <v>#NAME?</v>
      </c>
      <c r="I29" t="e">
        <f ca="1">ТЕXТ(Ј12/1440,"х:мм")</f>
        <v>#NAME?</v>
      </c>
      <c r="K29" t="s">
        <v>232</v>
      </c>
      <c r="L29" t="e">
        <f ca="1">ТЕXТ(М12/1440,"х:мм")</f>
        <v>#NAME?</v>
      </c>
      <c r="M29" t="e">
        <f ca="1">ТЕXТ(Н12/1440,"х:мм")</f>
        <v>#NAME?</v>
      </c>
      <c r="Q29" s="75" t="s">
        <v>72</v>
      </c>
      <c r="R29" s="57">
        <v>15.494505494505503</v>
      </c>
      <c r="S29" s="58">
        <v>15.688367129135543</v>
      </c>
      <c r="T29" s="54"/>
      <c r="U29" s="75" t="s">
        <v>72</v>
      </c>
      <c r="V29" t="e">
        <f>С28/60</f>
        <v>#NAME?</v>
      </c>
      <c r="W29" t="e">
        <f>Т28/60</f>
        <v>#NAME?</v>
      </c>
      <c r="Y29" s="75" t="s">
        <v>72</v>
      </c>
      <c r="Z29" t="e">
        <f ca="1">ТЕXТ(С28/1440,"х:мм")</f>
        <v>#NAME?</v>
      </c>
      <c r="AA29" t="e">
        <f ca="1">ТЕXТ(Т28/1440,"х:мм")</f>
        <v>#NAME?</v>
      </c>
    </row>
    <row r="30" spans="1:27" ht="24" hidden="1" x14ac:dyDescent="0.25">
      <c r="A30" s="41" t="s">
        <v>231</v>
      </c>
      <c r="B30" t="e">
        <f ca="1">ТЕXТ(Б13/1440,"х:мм")</f>
        <v>#NAME?</v>
      </c>
      <c r="C30" t="e">
        <f ca="1">ТЕXТ(Ц13/1440,"х:мм")</f>
        <v>#NAME?</v>
      </c>
      <c r="D30" t="e">
        <f ca="1">ТЕXТ(Д13/1440,"х:мм")</f>
        <v>#NAME?</v>
      </c>
      <c r="E30" t="e">
        <f ca="1">ТЕXТ(Ф13/1440,"х:мм")</f>
        <v>#NAME?</v>
      </c>
      <c r="F30" t="e">
        <f ca="1">ТЕXТ(Г13/1440,"х:мм")</f>
        <v>#NAME?</v>
      </c>
      <c r="G30" t="e">
        <f ca="1">ТЕXТ(Х13/1440,"х:мм")</f>
        <v>#NAME?</v>
      </c>
      <c r="H30" t="e">
        <f ca="1">ТЕXТ(И13/1440,"х:мм")</f>
        <v>#NAME?</v>
      </c>
      <c r="I30" t="e">
        <f ca="1">ТЕXТ(Ј13/1440,"х:мм")</f>
        <v>#NAME?</v>
      </c>
      <c r="K30" t="s">
        <v>231</v>
      </c>
      <c r="L30" t="e">
        <f ca="1">ТЕXТ(М13/1440,"х:мм")</f>
        <v>#NAME?</v>
      </c>
      <c r="M30" t="e">
        <f ca="1">ТЕXТ(Н13/1440,"х:мм")</f>
        <v>#NAME?</v>
      </c>
      <c r="Q30" s="75" t="s">
        <v>76</v>
      </c>
      <c r="R30" s="57">
        <v>31.205821205821067</v>
      </c>
      <c r="S30" s="58">
        <v>21.902347918890108</v>
      </c>
      <c r="T30" s="54"/>
      <c r="U30" s="75" t="s">
        <v>76</v>
      </c>
      <c r="V30" t="e">
        <f>С29/60</f>
        <v>#NAME?</v>
      </c>
      <c r="W30" t="e">
        <f>Т29/60</f>
        <v>#NAME?</v>
      </c>
      <c r="Y30" s="75" t="s">
        <v>76</v>
      </c>
      <c r="Z30" t="e">
        <f ca="1">ТЕXТ(С29/1440,"х:мм")</f>
        <v>#NAME?</v>
      </c>
      <c r="AA30" t="e">
        <f ca="1">ТЕXТ(Т29/1440,"х:мм")</f>
        <v>#NAME?</v>
      </c>
    </row>
    <row r="31" spans="1:27" hidden="1" x14ac:dyDescent="0.25">
      <c r="A31" s="41" t="s">
        <v>229</v>
      </c>
      <c r="B31" t="e">
        <f ca="1">ТЕXТ(Б14/1440,"х:мм")</f>
        <v>#NAME?</v>
      </c>
      <c r="C31" t="e">
        <f ca="1">ТЕXТ(Ц14/1440,"х:мм")</f>
        <v>#NAME?</v>
      </c>
      <c r="D31" t="e">
        <f ca="1">ТЕXТ(Д14/1440,"х:мм")</f>
        <v>#NAME?</v>
      </c>
      <c r="E31" t="e">
        <f ca="1">ТЕXТ(Ф14/1440,"х:мм")</f>
        <v>#NAME?</v>
      </c>
      <c r="F31" t="e">
        <f ca="1">ТЕXТ(Г14/1440,"х:мм")</f>
        <v>#NAME?</v>
      </c>
      <c r="G31" t="e">
        <f ca="1">ТЕXТ(Х14/1440,"х:мм")</f>
        <v>#NAME?</v>
      </c>
      <c r="H31" t="e">
        <f ca="1">ТЕXТ(И14/1440,"х:мм")</f>
        <v>#NAME?</v>
      </c>
      <c r="I31" t="e">
        <f ca="1">ТЕXТ(Ј14/1440,"х:мм")</f>
        <v>#NAME?</v>
      </c>
      <c r="K31" t="s">
        <v>229</v>
      </c>
      <c r="L31" t="e">
        <f ca="1">ТЕXТ(М14/1440,"х:мм")</f>
        <v>#NAME?</v>
      </c>
      <c r="M31" t="e">
        <f ca="1">ТЕXТ(Н14/1440,"х:мм")</f>
        <v>#NAME?</v>
      </c>
      <c r="Q31" s="75" t="s">
        <v>270</v>
      </c>
      <c r="R31" s="57">
        <v>15.844965844965854</v>
      </c>
      <c r="S31" s="58">
        <v>13.385805763073627</v>
      </c>
      <c r="T31" s="54"/>
      <c r="U31" s="75" t="s">
        <v>270</v>
      </c>
      <c r="V31" t="e">
        <f>С30/60</f>
        <v>#NAME?</v>
      </c>
      <c r="W31" t="e">
        <f>Т30/60</f>
        <v>#NAME?</v>
      </c>
      <c r="Y31" s="75" t="s">
        <v>270</v>
      </c>
      <c r="Z31" t="e">
        <f ca="1">ТЕXТ(С30/1440,"х:мм")</f>
        <v>#NAME?</v>
      </c>
      <c r="AA31" t="e">
        <f ca="1">ТЕXТ(Т30/1440,"х:мм")</f>
        <v>#NAME?</v>
      </c>
    </row>
    <row r="32" spans="1:27" ht="405" hidden="1" x14ac:dyDescent="0.25">
      <c r="A32" s="1434" t="s">
        <v>329</v>
      </c>
      <c r="B32" s="1435"/>
      <c r="C32" s="1435"/>
      <c r="D32" s="1435"/>
      <c r="E32" s="1435"/>
      <c r="F32" s="1435"/>
      <c r="G32" s="1435"/>
      <c r="H32" s="1435"/>
      <c r="I32" s="1435"/>
      <c r="K32" s="78" t="s">
        <v>329</v>
      </c>
      <c r="Q32" s="76" t="s">
        <v>286</v>
      </c>
      <c r="R32" s="59">
        <v>2.1176121176121239</v>
      </c>
      <c r="S32" s="60">
        <v>0.62166488794023589</v>
      </c>
      <c r="T32" s="54"/>
      <c r="U32" s="76" t="s">
        <v>286</v>
      </c>
      <c r="V32" t="e">
        <f>С31/60</f>
        <v>#NAME?</v>
      </c>
      <c r="W32" t="e">
        <f>Т31/60</f>
        <v>#NAME?</v>
      </c>
      <c r="Y32" s="76" t="s">
        <v>286</v>
      </c>
      <c r="Z32" t="e">
        <f ca="1">ТЕXТ(С31/1440,"х:мм")</f>
        <v>#NAME?</v>
      </c>
      <c r="AA32" t="e">
        <f ca="1">ТЕXТ(Т31/1440,"х:мм")</f>
        <v>#NAME?</v>
      </c>
    </row>
    <row r="33" spans="1:20" ht="48" hidden="1" x14ac:dyDescent="0.25">
      <c r="Q33" s="66" t="s">
        <v>309</v>
      </c>
      <c r="R33" s="62">
        <v>13.748143748143773</v>
      </c>
      <c r="S33" s="63">
        <v>91.963713980789692</v>
      </c>
      <c r="T33" s="54"/>
    </row>
    <row r="34" spans="1:20" ht="36" hidden="1" x14ac:dyDescent="0.25">
      <c r="O34" s="151"/>
      <c r="P34" s="151"/>
      <c r="Q34" s="194" t="s">
        <v>296</v>
      </c>
      <c r="R34" s="64">
        <v>3.7600237600237625</v>
      </c>
      <c r="S34" s="65">
        <v>31.237993596584911</v>
      </c>
      <c r="T34" s="54"/>
    </row>
    <row r="35" spans="1:20" ht="15.75" thickBot="1" x14ac:dyDescent="0.3">
      <c r="A35" s="151"/>
      <c r="B35" s="151"/>
      <c r="C35" s="151"/>
    </row>
    <row r="36" spans="1:20" ht="15.75" thickBot="1" x14ac:dyDescent="0.3">
      <c r="A36" s="1200"/>
      <c r="B36" s="1205" t="s">
        <v>12</v>
      </c>
      <c r="C36" s="614" t="s">
        <v>11</v>
      </c>
    </row>
    <row r="37" spans="1:20" x14ac:dyDescent="0.25">
      <c r="A37" s="1201" t="s">
        <v>74</v>
      </c>
      <c r="B37" s="1198">
        <v>0.88620313217623603</v>
      </c>
      <c r="C37" s="616">
        <v>2.2475895915392763</v>
      </c>
    </row>
    <row r="38" spans="1:20" x14ac:dyDescent="0.25">
      <c r="A38" s="1202" t="s">
        <v>69</v>
      </c>
      <c r="B38" s="1206">
        <v>1.1639213915731088</v>
      </c>
      <c r="C38" s="617">
        <v>1.1281362716501078</v>
      </c>
    </row>
    <row r="39" spans="1:20" x14ac:dyDescent="0.25">
      <c r="A39" s="1202" t="s">
        <v>70</v>
      </c>
      <c r="B39" s="1206">
        <v>0.43701360164079101</v>
      </c>
      <c r="C39" s="617">
        <v>0.88639582748357404</v>
      </c>
    </row>
    <row r="40" spans="1:20" ht="30" x14ac:dyDescent="0.25">
      <c r="A40" s="1203" t="s">
        <v>469</v>
      </c>
      <c r="B40" s="1206">
        <v>2.0278801951411696</v>
      </c>
      <c r="C40" s="617">
        <v>1.4020453290811423</v>
      </c>
    </row>
    <row r="41" spans="1:20" x14ac:dyDescent="0.25">
      <c r="A41" s="1202" t="s">
        <v>234</v>
      </c>
      <c r="B41" s="1206">
        <v>1.6412782532487635</v>
      </c>
      <c r="C41" s="617">
        <v>1.0488921336274526</v>
      </c>
    </row>
    <row r="42" spans="1:20" x14ac:dyDescent="0.25">
      <c r="A42" s="1202" t="s">
        <v>72</v>
      </c>
      <c r="B42" s="1206">
        <v>0.65762642180378339</v>
      </c>
      <c r="C42" s="617">
        <v>0.69382347957568058</v>
      </c>
    </row>
    <row r="43" spans="1:20" x14ac:dyDescent="0.25">
      <c r="A43" s="1202" t="s">
        <v>235</v>
      </c>
      <c r="B43" s="1206">
        <v>0.69307667984848309</v>
      </c>
      <c r="C43" s="617">
        <v>0.72611804041367733</v>
      </c>
    </row>
    <row r="44" spans="1:20" x14ac:dyDescent="0.25">
      <c r="A44" s="1202" t="s">
        <v>71</v>
      </c>
      <c r="B44" s="1206">
        <v>1.652323671065679</v>
      </c>
      <c r="C44" s="617">
        <v>2.4353880829612673</v>
      </c>
    </row>
    <row r="45" spans="1:20" x14ac:dyDescent="0.25">
      <c r="A45" s="1202" t="s">
        <v>236</v>
      </c>
      <c r="B45" s="1206">
        <v>1.0528780918427987</v>
      </c>
      <c r="C45" s="617">
        <v>1.2319686736114588</v>
      </c>
    </row>
    <row r="46" spans="1:20" ht="30" x14ac:dyDescent="0.25">
      <c r="A46" s="1203" t="s">
        <v>479</v>
      </c>
      <c r="B46" s="1206">
        <v>2.0250153391951939</v>
      </c>
      <c r="C46" s="617">
        <v>2.0154972660934174</v>
      </c>
    </row>
    <row r="47" spans="1:20" ht="21" customHeight="1" thickBot="1" x14ac:dyDescent="0.3">
      <c r="A47" s="1204" t="s">
        <v>73</v>
      </c>
      <c r="B47" s="1199">
        <v>0.6485958968697435</v>
      </c>
      <c r="C47" s="619">
        <v>0.63937485244672643</v>
      </c>
    </row>
    <row r="48" spans="1:20" ht="24.95" customHeight="1" x14ac:dyDescent="0.25"/>
    <row r="55" spans="20:20" x14ac:dyDescent="0.25">
      <c r="T55" s="409"/>
    </row>
  </sheetData>
  <mergeCells count="12">
    <mergeCell ref="R23:S23"/>
    <mergeCell ref="A32:I32"/>
    <mergeCell ref="A1:I1"/>
    <mergeCell ref="B2:D2"/>
    <mergeCell ref="E2:F2"/>
    <mergeCell ref="G2:I2"/>
    <mergeCell ref="A15:I15"/>
    <mergeCell ref="B19:D19"/>
    <mergeCell ref="E19:F19"/>
    <mergeCell ref="G19:I19"/>
    <mergeCell ref="A17:C18"/>
    <mergeCell ref="F17:O18"/>
  </mergeCells>
  <pageMargins left="0.7" right="0.7" top="0.75" bottom="0.75" header="0.3" footer="0.3"/>
  <pageSetup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AL759"/>
  <sheetViews>
    <sheetView workbookViewId="0"/>
  </sheetViews>
  <sheetFormatPr defaultRowHeight="15" x14ac:dyDescent="0.25"/>
  <cols>
    <col min="1" max="1" width="33.5703125" customWidth="1"/>
    <col min="2" max="2" width="10.7109375" customWidth="1"/>
    <col min="3" max="3" width="13.140625" customWidth="1"/>
    <col min="4" max="4" width="11" customWidth="1"/>
    <col min="5" max="5" width="14.7109375" customWidth="1"/>
    <col min="6" max="38" width="9.5703125" customWidth="1"/>
  </cols>
  <sheetData>
    <row r="1" spans="1:22" ht="21" customHeight="1" x14ac:dyDescent="0.25"/>
    <row r="2" spans="1:22" ht="48.75" customHeight="1" thickBot="1" x14ac:dyDescent="0.3">
      <c r="A2" s="1455" t="s">
        <v>708</v>
      </c>
      <c r="B2" s="1455"/>
      <c r="C2" s="1455"/>
      <c r="D2" s="1455"/>
      <c r="E2" s="1455"/>
      <c r="F2" s="407"/>
      <c r="G2" s="407"/>
      <c r="H2" s="195"/>
      <c r="I2" s="195"/>
      <c r="J2" s="195"/>
      <c r="K2" s="195"/>
      <c r="L2" s="195"/>
      <c r="M2" s="195"/>
      <c r="N2" s="195"/>
      <c r="O2" s="195"/>
      <c r="P2" s="195"/>
      <c r="Q2" s="195"/>
      <c r="R2" s="195"/>
      <c r="S2" s="195"/>
      <c r="T2" s="195"/>
      <c r="U2" s="195"/>
      <c r="V2" s="195"/>
    </row>
    <row r="3" spans="1:22" ht="20.25" customHeight="1" x14ac:dyDescent="0.25">
      <c r="A3" s="1450"/>
      <c r="B3" s="1452" t="s">
        <v>104</v>
      </c>
      <c r="C3" s="1453"/>
      <c r="D3" s="1454" t="s">
        <v>237</v>
      </c>
      <c r="E3" s="1453"/>
    </row>
    <row r="4" spans="1:22" ht="15.75" thickBot="1" x14ac:dyDescent="0.3">
      <c r="A4" s="1451"/>
      <c r="B4" s="1157" t="s">
        <v>11</v>
      </c>
      <c r="C4" s="1158" t="s">
        <v>12</v>
      </c>
      <c r="D4" s="1152" t="s">
        <v>11</v>
      </c>
      <c r="E4" s="620" t="s">
        <v>12</v>
      </c>
    </row>
    <row r="5" spans="1:22" ht="17.25" customHeight="1" x14ac:dyDescent="0.25">
      <c r="A5" s="1148" t="s">
        <v>74</v>
      </c>
      <c r="B5" s="1159" t="s">
        <v>181</v>
      </c>
      <c r="C5" s="621" t="s">
        <v>238</v>
      </c>
      <c r="D5" s="1153" t="s">
        <v>239</v>
      </c>
      <c r="E5" s="621" t="s">
        <v>240</v>
      </c>
    </row>
    <row r="6" spans="1:22" ht="18" customHeight="1" x14ac:dyDescent="0.25">
      <c r="A6" s="1149" t="s">
        <v>69</v>
      </c>
      <c r="B6" s="1160" t="s">
        <v>241</v>
      </c>
      <c r="C6" s="622" t="s">
        <v>242</v>
      </c>
      <c r="D6" s="1154" t="s">
        <v>243</v>
      </c>
      <c r="E6" s="622" t="s">
        <v>244</v>
      </c>
    </row>
    <row r="7" spans="1:22" ht="17.25" customHeight="1" x14ac:dyDescent="0.25">
      <c r="A7" s="1149" t="s">
        <v>70</v>
      </c>
      <c r="B7" s="1160" t="s">
        <v>245</v>
      </c>
      <c r="C7" s="622" t="s">
        <v>246</v>
      </c>
      <c r="D7" s="1154" t="s">
        <v>240</v>
      </c>
      <c r="E7" s="622" t="s">
        <v>247</v>
      </c>
    </row>
    <row r="8" spans="1:22" ht="16.5" customHeight="1" x14ac:dyDescent="0.25">
      <c r="A8" s="1149" t="s">
        <v>71</v>
      </c>
      <c r="B8" s="1160" t="s">
        <v>248</v>
      </c>
      <c r="C8" s="622" t="s">
        <v>249</v>
      </c>
      <c r="D8" s="1154" t="s">
        <v>250</v>
      </c>
      <c r="E8" s="622" t="s">
        <v>157</v>
      </c>
    </row>
    <row r="9" spans="1:22" ht="15.75" customHeight="1" x14ac:dyDescent="0.25">
      <c r="A9" s="1149" t="s">
        <v>72</v>
      </c>
      <c r="B9" s="1160" t="s">
        <v>251</v>
      </c>
      <c r="C9" s="622" t="s">
        <v>252</v>
      </c>
      <c r="D9" s="1154" t="s">
        <v>253</v>
      </c>
      <c r="E9" s="622" t="s">
        <v>254</v>
      </c>
    </row>
    <row r="10" spans="1:22" ht="26.25" customHeight="1" x14ac:dyDescent="0.25">
      <c r="A10" s="1149" t="s">
        <v>76</v>
      </c>
      <c r="B10" s="1160" t="s">
        <v>255</v>
      </c>
      <c r="C10" s="622" t="s">
        <v>256</v>
      </c>
      <c r="D10" s="1154" t="s">
        <v>257</v>
      </c>
      <c r="E10" s="622" t="s">
        <v>258</v>
      </c>
    </row>
    <row r="11" spans="1:22" ht="17.25" customHeight="1" x14ac:dyDescent="0.25">
      <c r="A11" s="1149" t="s">
        <v>73</v>
      </c>
      <c r="B11" s="1160" t="s">
        <v>259</v>
      </c>
      <c r="C11" s="622" t="s">
        <v>260</v>
      </c>
      <c r="D11" s="1154" t="s">
        <v>259</v>
      </c>
      <c r="E11" s="622" t="s">
        <v>261</v>
      </c>
    </row>
    <row r="12" spans="1:22" ht="25.5" customHeight="1" thickBot="1" x14ac:dyDescent="0.3">
      <c r="A12" s="1150" t="s">
        <v>75</v>
      </c>
      <c r="B12" s="1161" t="s">
        <v>262</v>
      </c>
      <c r="C12" s="623" t="s">
        <v>263</v>
      </c>
      <c r="D12" s="1155" t="s">
        <v>243</v>
      </c>
      <c r="E12" s="623" t="s">
        <v>264</v>
      </c>
    </row>
    <row r="13" spans="1:22" ht="15.75" thickBot="1" x14ac:dyDescent="0.3">
      <c r="A13" s="1151" t="s">
        <v>83</v>
      </c>
      <c r="B13" s="1162" t="s">
        <v>138</v>
      </c>
      <c r="C13" s="624" t="s">
        <v>139</v>
      </c>
      <c r="D13" s="1156" t="s">
        <v>265</v>
      </c>
      <c r="E13" s="624" t="s">
        <v>266</v>
      </c>
    </row>
    <row r="16" spans="1:22" ht="22.5" customHeight="1" x14ac:dyDescent="0.25">
      <c r="A16" s="196"/>
      <c r="B16" s="196"/>
      <c r="C16" s="196"/>
      <c r="D16" s="196"/>
      <c r="E16" s="196"/>
      <c r="F16" s="196"/>
      <c r="G16" s="196"/>
    </row>
    <row r="17" spans="8:38" ht="21" customHeight="1" x14ac:dyDescent="0.25">
      <c r="H17" s="196"/>
      <c r="I17" s="196"/>
      <c r="J17" s="196"/>
      <c r="K17" s="196"/>
      <c r="L17" s="196"/>
      <c r="M17" s="196"/>
      <c r="N17" s="196"/>
      <c r="O17" s="196"/>
      <c r="P17" s="196"/>
      <c r="Q17" s="196"/>
      <c r="R17" s="196"/>
      <c r="S17" s="196"/>
      <c r="T17" s="196"/>
      <c r="U17" s="196"/>
      <c r="V17" s="196"/>
      <c r="W17" s="196"/>
      <c r="X17" s="196"/>
      <c r="Y17" s="196"/>
      <c r="Z17" s="196"/>
      <c r="AA17" s="196"/>
      <c r="AB17" s="196"/>
      <c r="AC17" s="196"/>
      <c r="AD17" s="196"/>
      <c r="AE17" s="196"/>
      <c r="AF17" s="196"/>
      <c r="AG17" s="196"/>
      <c r="AH17" s="196"/>
      <c r="AI17" s="196"/>
      <c r="AJ17" s="196"/>
      <c r="AK17" s="196"/>
      <c r="AL17" s="196"/>
    </row>
    <row r="18" spans="8:38" ht="15.95" customHeight="1" x14ac:dyDescent="0.25"/>
    <row r="19" spans="8:38" ht="15.95" customHeight="1" x14ac:dyDescent="0.25"/>
    <row r="20" spans="8:38" ht="17.100000000000001" customHeight="1" x14ac:dyDescent="0.25"/>
    <row r="21" spans="8:38" ht="17.100000000000001" customHeight="1" x14ac:dyDescent="0.25"/>
    <row r="22" spans="8:38" ht="17.100000000000001" customHeight="1" x14ac:dyDescent="0.25"/>
    <row r="23" spans="8:38" ht="17.100000000000001" customHeight="1" x14ac:dyDescent="0.25"/>
    <row r="24" spans="8:38" ht="17.100000000000001" customHeight="1" x14ac:dyDescent="0.25"/>
    <row r="25" spans="8:38" ht="17.100000000000001" customHeight="1" x14ac:dyDescent="0.25"/>
    <row r="26" spans="8:38" ht="17.100000000000001" customHeight="1" x14ac:dyDescent="0.25"/>
    <row r="27" spans="8:38" ht="24.95" customHeight="1" x14ac:dyDescent="0.25"/>
    <row r="29" spans="8:38" ht="21" customHeight="1" x14ac:dyDescent="0.25"/>
    <row r="30" spans="8:38" ht="15.95" customHeight="1" x14ac:dyDescent="0.25"/>
    <row r="31" spans="8:38" ht="15.95" customHeight="1" x14ac:dyDescent="0.25"/>
    <row r="32" spans="8:38" ht="17.100000000000001" customHeight="1" x14ac:dyDescent="0.25"/>
    <row r="33" ht="17.100000000000001" customHeight="1" x14ac:dyDescent="0.25"/>
    <row r="34" ht="17.100000000000001" customHeight="1" x14ac:dyDescent="0.25"/>
    <row r="35" ht="17.100000000000001" customHeight="1" x14ac:dyDescent="0.25"/>
    <row r="36" ht="17.100000000000001" customHeight="1" x14ac:dyDescent="0.25"/>
    <row r="37" ht="17.100000000000001" customHeight="1" x14ac:dyDescent="0.25"/>
    <row r="38" ht="17.100000000000001" customHeight="1" x14ac:dyDescent="0.25"/>
    <row r="39" ht="24.95" customHeight="1" x14ac:dyDescent="0.25"/>
    <row r="41" ht="21" customHeight="1" x14ac:dyDescent="0.25"/>
    <row r="42" ht="15.95" customHeight="1" x14ac:dyDescent="0.25"/>
    <row r="43" ht="15.95" customHeight="1" x14ac:dyDescent="0.25"/>
    <row r="44" ht="17.100000000000001" customHeight="1" x14ac:dyDescent="0.25"/>
    <row r="45" ht="17.100000000000001" customHeight="1" x14ac:dyDescent="0.25"/>
    <row r="46" ht="17.100000000000001" customHeight="1" x14ac:dyDescent="0.25"/>
    <row r="47" ht="17.100000000000001" customHeight="1" x14ac:dyDescent="0.25"/>
    <row r="48" ht="17.100000000000001" customHeight="1" x14ac:dyDescent="0.25"/>
    <row r="49" ht="17.100000000000001" customHeight="1" x14ac:dyDescent="0.25"/>
    <row r="50" ht="17.100000000000001" customHeight="1" x14ac:dyDescent="0.25"/>
    <row r="51" ht="24.95" customHeight="1" x14ac:dyDescent="0.25"/>
    <row r="53" ht="21" customHeight="1" x14ac:dyDescent="0.25"/>
    <row r="54" ht="15.95" customHeight="1" x14ac:dyDescent="0.25"/>
    <row r="55" ht="15.95" customHeight="1" x14ac:dyDescent="0.25"/>
    <row r="56" ht="17.100000000000001" customHeight="1" x14ac:dyDescent="0.25"/>
    <row r="57" ht="17.100000000000001" customHeight="1" x14ac:dyDescent="0.25"/>
    <row r="58" ht="17.100000000000001" customHeight="1" x14ac:dyDescent="0.25"/>
    <row r="59" ht="17.100000000000001" customHeight="1" x14ac:dyDescent="0.25"/>
    <row r="60" ht="17.100000000000001" customHeight="1" x14ac:dyDescent="0.25"/>
    <row r="61" ht="17.100000000000001" customHeight="1" x14ac:dyDescent="0.25"/>
    <row r="62" ht="17.100000000000001" customHeight="1" x14ac:dyDescent="0.25"/>
    <row r="63" ht="24.95" customHeight="1" x14ac:dyDescent="0.25"/>
    <row r="65" ht="21" customHeight="1" x14ac:dyDescent="0.25"/>
    <row r="66" ht="15.95" customHeight="1" x14ac:dyDescent="0.25"/>
    <row r="67" ht="15.95" customHeight="1" x14ac:dyDescent="0.25"/>
    <row r="68" ht="17.100000000000001" customHeight="1" x14ac:dyDescent="0.25"/>
    <row r="69" ht="17.100000000000001" customHeight="1" x14ac:dyDescent="0.25"/>
    <row r="70" ht="17.100000000000001" customHeight="1" x14ac:dyDescent="0.25"/>
    <row r="71" ht="17.100000000000001" customHeight="1" x14ac:dyDescent="0.25"/>
    <row r="72" ht="17.100000000000001" customHeight="1" x14ac:dyDescent="0.25"/>
    <row r="73" ht="17.100000000000001" customHeight="1" x14ac:dyDescent="0.25"/>
    <row r="74" ht="17.100000000000001" customHeight="1" x14ac:dyDescent="0.25"/>
    <row r="75" ht="17.100000000000001" customHeight="1" x14ac:dyDescent="0.25"/>
    <row r="76" ht="17.100000000000001" customHeight="1" x14ac:dyDescent="0.25"/>
    <row r="77" ht="17.100000000000001" customHeight="1" x14ac:dyDescent="0.25"/>
    <row r="78" ht="17.100000000000001" customHeight="1" x14ac:dyDescent="0.25"/>
    <row r="79" ht="17.100000000000001" customHeight="1" x14ac:dyDescent="0.25"/>
    <row r="80" ht="17.100000000000001" customHeight="1" x14ac:dyDescent="0.25"/>
    <row r="81" ht="17.100000000000001" customHeight="1" x14ac:dyDescent="0.25"/>
    <row r="82" ht="17.100000000000001" customHeight="1" x14ac:dyDescent="0.25"/>
    <row r="83" ht="17.100000000000001" customHeight="1" x14ac:dyDescent="0.25"/>
    <row r="84" ht="17.100000000000001" customHeight="1" x14ac:dyDescent="0.25"/>
    <row r="85" ht="17.100000000000001" customHeight="1" x14ac:dyDescent="0.25"/>
    <row r="86" ht="17.100000000000001" customHeight="1" x14ac:dyDescent="0.25"/>
    <row r="87" ht="17.100000000000001" customHeight="1" x14ac:dyDescent="0.25"/>
    <row r="88" ht="17.100000000000001" customHeight="1" x14ac:dyDescent="0.25"/>
    <row r="89" ht="17.100000000000001" customHeight="1" x14ac:dyDescent="0.25"/>
    <row r="90" ht="17.100000000000001" customHeight="1" x14ac:dyDescent="0.25"/>
    <row r="91" ht="17.100000000000001" customHeight="1" x14ac:dyDescent="0.25"/>
    <row r="92" ht="17.100000000000001" customHeight="1" x14ac:dyDescent="0.25"/>
    <row r="93" ht="17.100000000000001" customHeight="1" x14ac:dyDescent="0.25"/>
    <row r="94" ht="17.100000000000001" customHeight="1" x14ac:dyDescent="0.25"/>
    <row r="95" ht="17.100000000000001" customHeight="1" x14ac:dyDescent="0.25"/>
    <row r="96" ht="17.100000000000001" customHeight="1" x14ac:dyDescent="0.25"/>
    <row r="97" ht="17.100000000000001" customHeight="1" x14ac:dyDescent="0.25"/>
    <row r="98" ht="17.100000000000001" customHeight="1" x14ac:dyDescent="0.25"/>
    <row r="99" ht="17.100000000000001" customHeight="1" x14ac:dyDescent="0.25"/>
    <row r="100" ht="17.100000000000001" customHeight="1" x14ac:dyDescent="0.25"/>
    <row r="101" ht="17.100000000000001" customHeight="1" x14ac:dyDescent="0.25"/>
    <row r="102" ht="17.100000000000001" customHeight="1" x14ac:dyDescent="0.25"/>
    <row r="103" ht="17.100000000000001" customHeight="1" x14ac:dyDescent="0.25"/>
    <row r="104" ht="17.100000000000001" customHeight="1" x14ac:dyDescent="0.25"/>
    <row r="105" ht="17.100000000000001" customHeight="1" x14ac:dyDescent="0.25"/>
    <row r="106" ht="17.100000000000001" customHeight="1" x14ac:dyDescent="0.25"/>
    <row r="107" ht="17.100000000000001" customHeight="1" x14ac:dyDescent="0.25"/>
    <row r="108" ht="17.100000000000001" customHeight="1" x14ac:dyDescent="0.25"/>
    <row r="109" ht="30" customHeight="1" x14ac:dyDescent="0.25"/>
    <row r="110" ht="17.100000000000001" customHeight="1" x14ac:dyDescent="0.25"/>
    <row r="111" ht="30" customHeight="1" x14ac:dyDescent="0.25"/>
    <row r="112" ht="17.100000000000001" customHeight="1" x14ac:dyDescent="0.25"/>
    <row r="113" ht="17.100000000000001" customHeight="1" x14ac:dyDescent="0.25"/>
    <row r="114" ht="17.100000000000001" customHeight="1" x14ac:dyDescent="0.25"/>
    <row r="115" ht="24.95" customHeight="1" x14ac:dyDescent="0.25"/>
    <row r="117" ht="21" customHeight="1" x14ac:dyDescent="0.25"/>
    <row r="118" ht="15.95" customHeight="1" x14ac:dyDescent="0.25"/>
    <row r="119" ht="15.95" customHeight="1" x14ac:dyDescent="0.25"/>
    <row r="120" ht="17.100000000000001" customHeight="1" x14ac:dyDescent="0.25"/>
    <row r="121" ht="17.100000000000001" customHeight="1" x14ac:dyDescent="0.25"/>
    <row r="122" ht="17.100000000000001" customHeight="1" x14ac:dyDescent="0.25"/>
    <row r="123" ht="17.100000000000001" customHeight="1" x14ac:dyDescent="0.25"/>
    <row r="124" ht="17.100000000000001" customHeight="1" x14ac:dyDescent="0.25"/>
    <row r="125" ht="17.100000000000001" customHeight="1" x14ac:dyDescent="0.25"/>
    <row r="126" ht="17.100000000000001" customHeight="1" x14ac:dyDescent="0.25"/>
    <row r="127" ht="17.100000000000001" customHeight="1" x14ac:dyDescent="0.25"/>
    <row r="128" ht="17.100000000000001" customHeight="1" x14ac:dyDescent="0.25"/>
    <row r="129" ht="17.100000000000001" customHeight="1" x14ac:dyDescent="0.25"/>
    <row r="130" ht="17.100000000000001" customHeight="1" x14ac:dyDescent="0.25"/>
    <row r="131" ht="17.100000000000001" customHeight="1" x14ac:dyDescent="0.25"/>
    <row r="132" ht="17.100000000000001" customHeight="1" x14ac:dyDescent="0.25"/>
    <row r="133" ht="17.100000000000001" customHeight="1" x14ac:dyDescent="0.25"/>
    <row r="134" ht="17.100000000000001" customHeight="1" x14ac:dyDescent="0.25"/>
    <row r="135" ht="17.100000000000001" customHeight="1" x14ac:dyDescent="0.25"/>
    <row r="136" ht="17.100000000000001" customHeight="1" x14ac:dyDescent="0.25"/>
    <row r="137" ht="17.100000000000001" customHeight="1" x14ac:dyDescent="0.25"/>
    <row r="138" ht="17.100000000000001" customHeight="1" x14ac:dyDescent="0.25"/>
    <row r="139" ht="17.100000000000001" customHeight="1" x14ac:dyDescent="0.25"/>
    <row r="140" ht="17.100000000000001" customHeight="1" x14ac:dyDescent="0.25"/>
    <row r="141" ht="17.100000000000001" customHeight="1" x14ac:dyDescent="0.25"/>
    <row r="142" ht="17.100000000000001" customHeight="1" x14ac:dyDescent="0.25"/>
    <row r="143" ht="17.100000000000001" customHeight="1" x14ac:dyDescent="0.25"/>
    <row r="144" ht="17.100000000000001" customHeight="1" x14ac:dyDescent="0.25"/>
    <row r="145" ht="17.100000000000001" customHeight="1" x14ac:dyDescent="0.25"/>
    <row r="146" ht="17.100000000000001" customHeight="1" x14ac:dyDescent="0.25"/>
    <row r="147" ht="17.100000000000001" customHeight="1" x14ac:dyDescent="0.25"/>
    <row r="148" ht="17.100000000000001" customHeight="1" x14ac:dyDescent="0.25"/>
    <row r="149" ht="17.100000000000001" customHeight="1" x14ac:dyDescent="0.25"/>
    <row r="150" ht="17.100000000000001" customHeight="1" x14ac:dyDescent="0.25"/>
    <row r="151" ht="17.100000000000001" customHeight="1" x14ac:dyDescent="0.25"/>
    <row r="152" ht="17.100000000000001" customHeight="1" x14ac:dyDescent="0.25"/>
    <row r="153" ht="17.100000000000001" customHeight="1" x14ac:dyDescent="0.25"/>
    <row r="154" ht="17.100000000000001" customHeight="1" x14ac:dyDescent="0.25"/>
    <row r="155" ht="17.100000000000001" customHeight="1" x14ac:dyDescent="0.25"/>
    <row r="156" ht="17.100000000000001" customHeight="1" x14ac:dyDescent="0.25"/>
    <row r="157" ht="17.100000000000001" customHeight="1" x14ac:dyDescent="0.25"/>
    <row r="158" ht="17.100000000000001" customHeight="1" x14ac:dyDescent="0.25"/>
    <row r="159" ht="17.100000000000001" customHeight="1" x14ac:dyDescent="0.25"/>
    <row r="160" ht="17.100000000000001" customHeight="1" x14ac:dyDescent="0.25"/>
    <row r="161" ht="30" customHeight="1" x14ac:dyDescent="0.25"/>
    <row r="162" ht="17.100000000000001" customHeight="1" x14ac:dyDescent="0.25"/>
    <row r="163" ht="30" customHeight="1" x14ac:dyDescent="0.25"/>
    <row r="164" ht="17.100000000000001" customHeight="1" x14ac:dyDescent="0.25"/>
    <row r="165" ht="17.100000000000001" customHeight="1" x14ac:dyDescent="0.25"/>
    <row r="166" ht="17.100000000000001" customHeight="1" x14ac:dyDescent="0.25"/>
    <row r="167" ht="24.95" customHeight="1" x14ac:dyDescent="0.25"/>
    <row r="169" ht="21" customHeight="1" x14ac:dyDescent="0.25"/>
    <row r="170" ht="15.95" customHeight="1" x14ac:dyDescent="0.25"/>
    <row r="171" ht="15.95" customHeight="1" x14ac:dyDescent="0.25"/>
    <row r="172" ht="17.100000000000001" customHeight="1" x14ac:dyDescent="0.25"/>
    <row r="173" ht="17.100000000000001" customHeight="1" x14ac:dyDescent="0.25"/>
    <row r="174" ht="17.100000000000001" customHeight="1" x14ac:dyDescent="0.25"/>
    <row r="175" ht="17.100000000000001" customHeight="1" x14ac:dyDescent="0.25"/>
    <row r="176" ht="17.100000000000001" customHeight="1" x14ac:dyDescent="0.25"/>
    <row r="177" ht="17.100000000000001" customHeight="1" x14ac:dyDescent="0.25"/>
    <row r="178" ht="17.100000000000001" customHeight="1" x14ac:dyDescent="0.25"/>
    <row r="179" ht="17.100000000000001" customHeight="1" x14ac:dyDescent="0.25"/>
    <row r="180" ht="17.100000000000001" customHeight="1" x14ac:dyDescent="0.25"/>
    <row r="181" ht="17.100000000000001" customHeight="1" x14ac:dyDescent="0.25"/>
    <row r="182" ht="17.100000000000001" customHeight="1" x14ac:dyDescent="0.25"/>
    <row r="183" ht="17.100000000000001" customHeight="1" x14ac:dyDescent="0.25"/>
    <row r="184" ht="17.100000000000001" customHeight="1" x14ac:dyDescent="0.25"/>
    <row r="185" ht="17.100000000000001" customHeight="1" x14ac:dyDescent="0.25"/>
    <row r="186" ht="17.100000000000001" customHeight="1" x14ac:dyDescent="0.25"/>
    <row r="187" ht="17.100000000000001" customHeight="1" x14ac:dyDescent="0.25"/>
    <row r="188" ht="17.100000000000001" customHeight="1" x14ac:dyDescent="0.25"/>
    <row r="189" ht="17.100000000000001" customHeight="1" x14ac:dyDescent="0.25"/>
    <row r="190" ht="17.100000000000001" customHeight="1" x14ac:dyDescent="0.25"/>
    <row r="191" ht="17.100000000000001" customHeight="1" x14ac:dyDescent="0.25"/>
    <row r="192" ht="17.100000000000001" customHeight="1" x14ac:dyDescent="0.25"/>
    <row r="193" ht="17.100000000000001" customHeight="1" x14ac:dyDescent="0.25"/>
    <row r="194" ht="17.100000000000001" customHeight="1" x14ac:dyDescent="0.25"/>
    <row r="195" ht="17.100000000000001" customHeight="1" x14ac:dyDescent="0.25"/>
    <row r="196" ht="17.100000000000001" customHeight="1" x14ac:dyDescent="0.25"/>
    <row r="197" ht="17.100000000000001" customHeight="1" x14ac:dyDescent="0.25"/>
    <row r="198" ht="17.100000000000001" customHeight="1" x14ac:dyDescent="0.25"/>
    <row r="199" ht="17.100000000000001" customHeight="1" x14ac:dyDescent="0.25"/>
    <row r="200" ht="17.100000000000001" customHeight="1" x14ac:dyDescent="0.25"/>
    <row r="201" ht="17.100000000000001" customHeight="1" x14ac:dyDescent="0.25"/>
    <row r="202" ht="17.100000000000001" customHeight="1" x14ac:dyDescent="0.25"/>
    <row r="203" ht="17.100000000000001" customHeight="1" x14ac:dyDescent="0.25"/>
    <row r="204" ht="17.100000000000001" customHeight="1" x14ac:dyDescent="0.25"/>
    <row r="205" ht="17.100000000000001" customHeight="1" x14ac:dyDescent="0.25"/>
    <row r="206" ht="17.100000000000001" customHeight="1" x14ac:dyDescent="0.25"/>
    <row r="207" ht="17.100000000000001" customHeight="1" x14ac:dyDescent="0.25"/>
    <row r="208" ht="17.100000000000001" customHeight="1" x14ac:dyDescent="0.25"/>
    <row r="209" ht="17.100000000000001" customHeight="1" x14ac:dyDescent="0.25"/>
    <row r="210" ht="17.100000000000001" customHeight="1" x14ac:dyDescent="0.25"/>
    <row r="211" ht="17.100000000000001" customHeight="1" x14ac:dyDescent="0.25"/>
    <row r="212" ht="17.100000000000001" customHeight="1" x14ac:dyDescent="0.25"/>
    <row r="213" ht="30" customHeight="1" x14ac:dyDescent="0.25"/>
    <row r="214" ht="17.100000000000001" customHeight="1" x14ac:dyDescent="0.25"/>
    <row r="215" ht="30" customHeight="1" x14ac:dyDescent="0.25"/>
    <row r="216" ht="17.100000000000001" customHeight="1" x14ac:dyDescent="0.25"/>
    <row r="217" ht="17.100000000000001" customHeight="1" x14ac:dyDescent="0.25"/>
    <row r="218" ht="17.100000000000001" customHeight="1" x14ac:dyDescent="0.25"/>
    <row r="219" ht="24.95" customHeight="1" x14ac:dyDescent="0.25"/>
    <row r="221" ht="21" customHeight="1" x14ac:dyDescent="0.25"/>
    <row r="222" ht="15.95" customHeight="1" x14ac:dyDescent="0.25"/>
    <row r="223" ht="15.95" customHeight="1" x14ac:dyDescent="0.25"/>
    <row r="224" ht="17.100000000000001" customHeight="1" x14ac:dyDescent="0.25"/>
    <row r="225" ht="17.100000000000001" customHeight="1" x14ac:dyDescent="0.25"/>
    <row r="226" ht="17.100000000000001" customHeight="1" x14ac:dyDescent="0.25"/>
    <row r="227" ht="17.100000000000001" customHeight="1" x14ac:dyDescent="0.25"/>
    <row r="228" ht="17.100000000000001" customHeight="1" x14ac:dyDescent="0.25"/>
    <row r="229" ht="17.100000000000001" customHeight="1" x14ac:dyDescent="0.25"/>
    <row r="230" ht="17.100000000000001" customHeight="1" x14ac:dyDescent="0.25"/>
    <row r="231" ht="17.100000000000001" customHeight="1" x14ac:dyDescent="0.25"/>
    <row r="232" ht="17.100000000000001" customHeight="1" x14ac:dyDescent="0.25"/>
    <row r="233" ht="17.100000000000001" customHeight="1" x14ac:dyDescent="0.25"/>
    <row r="234" ht="17.100000000000001" customHeight="1" x14ac:dyDescent="0.25"/>
    <row r="235" ht="17.100000000000001" customHeight="1" x14ac:dyDescent="0.25"/>
    <row r="236" ht="17.100000000000001" customHeight="1" x14ac:dyDescent="0.25"/>
    <row r="237" ht="17.100000000000001" customHeight="1" x14ac:dyDescent="0.25"/>
    <row r="238" ht="17.100000000000001" customHeight="1" x14ac:dyDescent="0.25"/>
    <row r="239" ht="17.100000000000001" customHeight="1" x14ac:dyDescent="0.25"/>
    <row r="240" ht="17.100000000000001" customHeight="1" x14ac:dyDescent="0.25"/>
    <row r="241" ht="17.100000000000001" customHeight="1" x14ac:dyDescent="0.25"/>
    <row r="242" ht="17.100000000000001" customHeight="1" x14ac:dyDescent="0.25"/>
    <row r="243" ht="17.100000000000001" customHeight="1" x14ac:dyDescent="0.25"/>
    <row r="244" ht="17.100000000000001" customHeight="1" x14ac:dyDescent="0.25"/>
    <row r="245" ht="17.100000000000001" customHeight="1" x14ac:dyDescent="0.25"/>
    <row r="246" ht="17.100000000000001" customHeight="1" x14ac:dyDescent="0.25"/>
    <row r="247" ht="17.100000000000001" customHeight="1" x14ac:dyDescent="0.25"/>
    <row r="248" ht="17.100000000000001" customHeight="1" x14ac:dyDescent="0.25"/>
    <row r="249" ht="17.100000000000001" customHeight="1" x14ac:dyDescent="0.25"/>
    <row r="250" ht="17.100000000000001" customHeight="1" x14ac:dyDescent="0.25"/>
    <row r="251" ht="17.100000000000001" customHeight="1" x14ac:dyDescent="0.25"/>
    <row r="252" ht="17.100000000000001" customHeight="1" x14ac:dyDescent="0.25"/>
    <row r="253" ht="17.100000000000001" customHeight="1" x14ac:dyDescent="0.25"/>
    <row r="254" ht="17.100000000000001" customHeight="1" x14ac:dyDescent="0.25"/>
    <row r="255" ht="17.100000000000001" customHeight="1" x14ac:dyDescent="0.25"/>
    <row r="256" ht="17.100000000000001" customHeight="1" x14ac:dyDescent="0.25"/>
    <row r="257" ht="17.100000000000001" customHeight="1" x14ac:dyDescent="0.25"/>
    <row r="258" ht="17.100000000000001" customHeight="1" x14ac:dyDescent="0.25"/>
    <row r="259" ht="17.100000000000001" customHeight="1" x14ac:dyDescent="0.25"/>
    <row r="260" ht="17.100000000000001" customHeight="1" x14ac:dyDescent="0.25"/>
    <row r="261" ht="17.100000000000001" customHeight="1" x14ac:dyDescent="0.25"/>
    <row r="262" ht="17.100000000000001" customHeight="1" x14ac:dyDescent="0.25"/>
    <row r="263" ht="17.100000000000001" customHeight="1" x14ac:dyDescent="0.25"/>
    <row r="264" ht="17.100000000000001" customHeight="1" x14ac:dyDescent="0.25"/>
    <row r="265" ht="30" customHeight="1" x14ac:dyDescent="0.25"/>
    <row r="266" ht="17.100000000000001" customHeight="1" x14ac:dyDescent="0.25"/>
    <row r="267" ht="30" customHeight="1" x14ac:dyDescent="0.25"/>
    <row r="268" ht="17.100000000000001" customHeight="1" x14ac:dyDescent="0.25"/>
    <row r="269" ht="17.100000000000001" customHeight="1" x14ac:dyDescent="0.25"/>
    <row r="270" ht="17.100000000000001" customHeight="1" x14ac:dyDescent="0.25"/>
    <row r="271" ht="24.95" customHeight="1" x14ac:dyDescent="0.25"/>
    <row r="273" ht="21" customHeight="1" x14ac:dyDescent="0.25"/>
    <row r="274" ht="15.95" customHeight="1" x14ac:dyDescent="0.25"/>
    <row r="275" ht="15.95" customHeight="1" x14ac:dyDescent="0.25"/>
    <row r="276" ht="17.100000000000001" customHeight="1" x14ac:dyDescent="0.25"/>
    <row r="277" ht="17.100000000000001" customHeight="1" x14ac:dyDescent="0.25"/>
    <row r="278" ht="17.100000000000001" customHeight="1" x14ac:dyDescent="0.25"/>
    <row r="279" ht="17.100000000000001" customHeight="1" x14ac:dyDescent="0.25"/>
    <row r="280" ht="17.100000000000001" customHeight="1" x14ac:dyDescent="0.25"/>
    <row r="281" ht="17.100000000000001" customHeight="1" x14ac:dyDescent="0.25"/>
    <row r="282" ht="17.100000000000001" customHeight="1" x14ac:dyDescent="0.25"/>
    <row r="283" ht="17.100000000000001" customHeight="1" x14ac:dyDescent="0.25"/>
    <row r="284" ht="30" customHeight="1" x14ac:dyDescent="0.25"/>
    <row r="285" ht="17.100000000000001" customHeight="1" x14ac:dyDescent="0.25"/>
    <row r="286" ht="30" customHeight="1" x14ac:dyDescent="0.25"/>
    <row r="287" ht="17.100000000000001" customHeight="1" x14ac:dyDescent="0.25"/>
    <row r="288" ht="17.100000000000001" customHeight="1" x14ac:dyDescent="0.25"/>
    <row r="289" ht="17.100000000000001" customHeight="1" x14ac:dyDescent="0.25"/>
    <row r="290" ht="17.100000000000001" customHeight="1" x14ac:dyDescent="0.25"/>
    <row r="291" ht="30" customHeight="1" x14ac:dyDescent="0.25"/>
    <row r="292" ht="17.100000000000001" customHeight="1" x14ac:dyDescent="0.25"/>
    <row r="293" ht="17.100000000000001" customHeight="1" x14ac:dyDescent="0.25"/>
    <row r="294" ht="17.100000000000001" customHeight="1" x14ac:dyDescent="0.25"/>
    <row r="295" ht="17.100000000000001" customHeight="1" x14ac:dyDescent="0.25"/>
    <row r="296" ht="17.100000000000001" customHeight="1" x14ac:dyDescent="0.25"/>
    <row r="297" ht="17.100000000000001" customHeight="1" x14ac:dyDescent="0.25"/>
    <row r="298" ht="17.100000000000001" customHeight="1" x14ac:dyDescent="0.25"/>
    <row r="299" ht="17.100000000000001" customHeight="1" x14ac:dyDescent="0.25"/>
    <row r="300" ht="17.100000000000001" customHeight="1" x14ac:dyDescent="0.25"/>
    <row r="301" ht="17.100000000000001" customHeight="1" x14ac:dyDescent="0.25"/>
    <row r="302" ht="30" customHeight="1" x14ac:dyDescent="0.25"/>
    <row r="303" ht="17.100000000000001" customHeight="1" x14ac:dyDescent="0.25"/>
    <row r="304" ht="17.100000000000001" customHeight="1" x14ac:dyDescent="0.25"/>
    <row r="305" ht="30" customHeight="1" x14ac:dyDescent="0.25"/>
    <row r="306" ht="17.100000000000001" customHeight="1" x14ac:dyDescent="0.25"/>
    <row r="307" ht="17.100000000000001" customHeight="1" x14ac:dyDescent="0.25"/>
    <row r="308" ht="17.100000000000001" customHeight="1" x14ac:dyDescent="0.25"/>
    <row r="309" ht="17.100000000000001" customHeight="1" x14ac:dyDescent="0.25"/>
    <row r="310" ht="30" customHeight="1" x14ac:dyDescent="0.25"/>
    <row r="311" ht="17.100000000000001" customHeight="1" x14ac:dyDescent="0.25"/>
    <row r="312" ht="17.100000000000001" customHeight="1" x14ac:dyDescent="0.25"/>
    <row r="313" ht="30" customHeight="1" x14ac:dyDescent="0.25"/>
    <row r="314" ht="17.100000000000001" customHeight="1" x14ac:dyDescent="0.25"/>
    <row r="315" ht="30" customHeight="1" x14ac:dyDescent="0.25"/>
    <row r="316" ht="17.100000000000001" customHeight="1" x14ac:dyDescent="0.25"/>
    <row r="317" ht="17.100000000000001" customHeight="1" x14ac:dyDescent="0.25"/>
    <row r="318" ht="17.100000000000001" customHeight="1" x14ac:dyDescent="0.25"/>
    <row r="319" ht="17.100000000000001" customHeight="1" x14ac:dyDescent="0.25"/>
    <row r="320" ht="17.100000000000001" customHeight="1" x14ac:dyDescent="0.25"/>
    <row r="321" ht="17.100000000000001" customHeight="1" x14ac:dyDescent="0.25"/>
    <row r="322" ht="17.100000000000001" customHeight="1" x14ac:dyDescent="0.25"/>
    <row r="323" ht="17.100000000000001" customHeight="1" x14ac:dyDescent="0.25"/>
    <row r="324" ht="30" customHeight="1" x14ac:dyDescent="0.25"/>
    <row r="325" ht="30" customHeight="1" x14ac:dyDescent="0.25"/>
    <row r="326" ht="17.100000000000001" customHeight="1" x14ac:dyDescent="0.25"/>
    <row r="327" ht="17.100000000000001" customHeight="1" x14ac:dyDescent="0.25"/>
    <row r="328" ht="17.100000000000001" customHeight="1" x14ac:dyDescent="0.25"/>
    <row r="329" ht="17.100000000000001" customHeight="1" x14ac:dyDescent="0.25"/>
    <row r="330" ht="30" customHeight="1" x14ac:dyDescent="0.25"/>
    <row r="331" ht="30" customHeight="1" x14ac:dyDescent="0.25"/>
    <row r="332" ht="17.100000000000001" customHeight="1" x14ac:dyDescent="0.25"/>
    <row r="333" ht="17.100000000000001" customHeight="1" x14ac:dyDescent="0.25"/>
    <row r="334" ht="30" customHeight="1" x14ac:dyDescent="0.25"/>
    <row r="335" ht="17.100000000000001" customHeight="1" x14ac:dyDescent="0.25"/>
    <row r="336" ht="17.100000000000001" customHeight="1" x14ac:dyDescent="0.25"/>
    <row r="337" ht="17.100000000000001" customHeight="1" x14ac:dyDescent="0.25"/>
    <row r="338" ht="17.100000000000001" customHeight="1" x14ac:dyDescent="0.25"/>
    <row r="339" ht="17.100000000000001" customHeight="1" x14ac:dyDescent="0.25"/>
    <row r="340" ht="17.100000000000001" customHeight="1" x14ac:dyDescent="0.25"/>
    <row r="341" ht="17.100000000000001" customHeight="1" x14ac:dyDescent="0.25"/>
    <row r="342" ht="17.100000000000001" customHeight="1" x14ac:dyDescent="0.25"/>
    <row r="343" ht="30" customHeight="1" x14ac:dyDescent="0.25"/>
    <row r="344" ht="30" customHeight="1" x14ac:dyDescent="0.25"/>
    <row r="345" ht="30" customHeight="1" x14ac:dyDescent="0.25"/>
    <row r="346" ht="17.100000000000001" customHeight="1" x14ac:dyDescent="0.25"/>
    <row r="347" ht="17.100000000000001" customHeight="1" x14ac:dyDescent="0.25"/>
    <row r="348" ht="17.100000000000001" customHeight="1" x14ac:dyDescent="0.25"/>
    <row r="349" ht="17.100000000000001" customHeight="1" x14ac:dyDescent="0.25"/>
    <row r="350" ht="30" customHeight="1" x14ac:dyDescent="0.25"/>
    <row r="351" ht="30" customHeight="1" x14ac:dyDescent="0.25"/>
    <row r="352" ht="17.100000000000001" customHeight="1" x14ac:dyDescent="0.25"/>
    <row r="353" ht="17.100000000000001" customHeight="1" x14ac:dyDescent="0.25"/>
    <row r="354" ht="17.100000000000001" customHeight="1" x14ac:dyDescent="0.25"/>
    <row r="355" ht="17.100000000000001" customHeight="1" x14ac:dyDescent="0.25"/>
    <row r="356" ht="17.100000000000001" customHeight="1" x14ac:dyDescent="0.25"/>
    <row r="357" ht="17.100000000000001" customHeight="1" x14ac:dyDescent="0.25"/>
    <row r="358" ht="17.100000000000001" customHeight="1" x14ac:dyDescent="0.25"/>
    <row r="359" ht="30" customHeight="1" x14ac:dyDescent="0.25"/>
    <row r="360" ht="30" customHeight="1" x14ac:dyDescent="0.25"/>
    <row r="361" ht="17.100000000000001" customHeight="1" x14ac:dyDescent="0.25"/>
    <row r="362" ht="17.100000000000001" customHeight="1" x14ac:dyDescent="0.25"/>
    <row r="363" ht="17.100000000000001" customHeight="1" x14ac:dyDescent="0.25"/>
    <row r="364" ht="30" customHeight="1" x14ac:dyDescent="0.25"/>
    <row r="365" ht="30" customHeight="1" x14ac:dyDescent="0.25"/>
    <row r="366" ht="17.100000000000001" customHeight="1" x14ac:dyDescent="0.25"/>
    <row r="367" ht="30" customHeight="1" x14ac:dyDescent="0.25"/>
    <row r="368" ht="17.100000000000001" customHeight="1" x14ac:dyDescent="0.25"/>
    <row r="369" ht="17.100000000000001" customHeight="1" x14ac:dyDescent="0.25"/>
    <row r="370" ht="17.100000000000001" customHeight="1" x14ac:dyDescent="0.25"/>
    <row r="371" ht="30" customHeight="1" x14ac:dyDescent="0.25"/>
    <row r="372" ht="17.100000000000001" customHeight="1" x14ac:dyDescent="0.25"/>
    <row r="373" ht="17.100000000000001" customHeight="1" x14ac:dyDescent="0.25"/>
    <row r="374" ht="17.100000000000001" customHeight="1" x14ac:dyDescent="0.25"/>
    <row r="375" ht="17.100000000000001" customHeight="1" x14ac:dyDescent="0.25"/>
    <row r="376" ht="17.100000000000001" customHeight="1" x14ac:dyDescent="0.25"/>
    <row r="377" ht="17.100000000000001" customHeight="1" x14ac:dyDescent="0.25"/>
    <row r="378" ht="17.100000000000001" customHeight="1" x14ac:dyDescent="0.25"/>
    <row r="379" ht="17.100000000000001" customHeight="1" x14ac:dyDescent="0.25"/>
    <row r="380" ht="17.100000000000001" customHeight="1" x14ac:dyDescent="0.25"/>
    <row r="381" ht="17.100000000000001" customHeight="1" x14ac:dyDescent="0.25"/>
    <row r="382" ht="17.100000000000001" customHeight="1" x14ac:dyDescent="0.25"/>
    <row r="383" ht="17.100000000000001" customHeight="1" x14ac:dyDescent="0.25"/>
    <row r="384" ht="30" customHeight="1" x14ac:dyDescent="0.25"/>
    <row r="385" ht="30" customHeight="1" x14ac:dyDescent="0.25"/>
    <row r="386" ht="17.100000000000001" customHeight="1" x14ac:dyDescent="0.25"/>
    <row r="387" ht="30" customHeight="1" x14ac:dyDescent="0.25"/>
    <row r="388" ht="17.100000000000001" customHeight="1" x14ac:dyDescent="0.25"/>
    <row r="389" ht="17.100000000000001" customHeight="1" x14ac:dyDescent="0.25"/>
    <row r="390" ht="17.100000000000001" customHeight="1" x14ac:dyDescent="0.25"/>
    <row r="391" ht="17.100000000000001" customHeight="1" x14ac:dyDescent="0.25"/>
    <row r="392" ht="17.100000000000001" customHeight="1" x14ac:dyDescent="0.25"/>
    <row r="393" ht="24.95" customHeight="1" x14ac:dyDescent="0.25"/>
    <row r="395" ht="21" customHeight="1" x14ac:dyDescent="0.25"/>
    <row r="396" ht="15.95" customHeight="1" x14ac:dyDescent="0.25"/>
    <row r="397" ht="15.95" customHeight="1" x14ac:dyDescent="0.25"/>
    <row r="398" ht="17.100000000000001" customHeight="1" x14ac:dyDescent="0.25"/>
    <row r="399" ht="17.100000000000001" customHeight="1" x14ac:dyDescent="0.25"/>
    <row r="400" ht="17.100000000000001" customHeight="1" x14ac:dyDescent="0.25"/>
    <row r="401" ht="17.100000000000001" customHeight="1" x14ac:dyDescent="0.25"/>
    <row r="402" ht="17.100000000000001" customHeight="1" x14ac:dyDescent="0.25"/>
    <row r="403" ht="17.100000000000001" customHeight="1" x14ac:dyDescent="0.25"/>
    <row r="404" ht="17.100000000000001" customHeight="1" x14ac:dyDescent="0.25"/>
    <row r="405" ht="17.100000000000001" customHeight="1" x14ac:dyDescent="0.25"/>
    <row r="406" ht="30" customHeight="1" x14ac:dyDescent="0.25"/>
    <row r="407" ht="17.100000000000001" customHeight="1" x14ac:dyDescent="0.25"/>
    <row r="408" ht="30" customHeight="1" x14ac:dyDescent="0.25"/>
    <row r="409" ht="17.100000000000001" customHeight="1" x14ac:dyDescent="0.25"/>
    <row r="410" ht="17.100000000000001" customHeight="1" x14ac:dyDescent="0.25"/>
    <row r="411" ht="17.100000000000001" customHeight="1" x14ac:dyDescent="0.25"/>
    <row r="412" ht="17.100000000000001" customHeight="1" x14ac:dyDescent="0.25"/>
    <row r="413" ht="30" customHeight="1" x14ac:dyDescent="0.25"/>
    <row r="414" ht="17.100000000000001" customHeight="1" x14ac:dyDescent="0.25"/>
    <row r="415" ht="17.100000000000001" customHeight="1" x14ac:dyDescent="0.25"/>
    <row r="416" ht="17.100000000000001" customHeight="1" x14ac:dyDescent="0.25"/>
    <row r="417" ht="17.100000000000001" customHeight="1" x14ac:dyDescent="0.25"/>
    <row r="418" ht="17.100000000000001" customHeight="1" x14ac:dyDescent="0.25"/>
    <row r="419" ht="17.100000000000001" customHeight="1" x14ac:dyDescent="0.25"/>
    <row r="420" ht="17.100000000000001" customHeight="1" x14ac:dyDescent="0.25"/>
    <row r="421" ht="17.100000000000001" customHeight="1" x14ac:dyDescent="0.25"/>
    <row r="422" ht="17.100000000000001" customHeight="1" x14ac:dyDescent="0.25"/>
    <row r="423" ht="17.100000000000001" customHeight="1" x14ac:dyDescent="0.25"/>
    <row r="424" ht="30" customHeight="1" x14ac:dyDescent="0.25"/>
    <row r="425" ht="17.100000000000001" customHeight="1" x14ac:dyDescent="0.25"/>
    <row r="426" ht="17.100000000000001" customHeight="1" x14ac:dyDescent="0.25"/>
    <row r="427" ht="30" customHeight="1" x14ac:dyDescent="0.25"/>
    <row r="428" ht="17.100000000000001" customHeight="1" x14ac:dyDescent="0.25"/>
    <row r="429" ht="17.100000000000001" customHeight="1" x14ac:dyDescent="0.25"/>
    <row r="430" ht="17.100000000000001" customHeight="1" x14ac:dyDescent="0.25"/>
    <row r="431" ht="17.100000000000001" customHeight="1" x14ac:dyDescent="0.25"/>
    <row r="432" ht="30" customHeight="1" x14ac:dyDescent="0.25"/>
    <row r="433" ht="17.100000000000001" customHeight="1" x14ac:dyDescent="0.25"/>
    <row r="434" ht="17.100000000000001" customHeight="1" x14ac:dyDescent="0.25"/>
    <row r="435" ht="30" customHeight="1" x14ac:dyDescent="0.25"/>
    <row r="436" ht="17.100000000000001" customHeight="1" x14ac:dyDescent="0.25"/>
    <row r="437" ht="30" customHeight="1" x14ac:dyDescent="0.25"/>
    <row r="438" ht="17.100000000000001" customHeight="1" x14ac:dyDescent="0.25"/>
    <row r="439" ht="17.100000000000001" customHeight="1" x14ac:dyDescent="0.25"/>
    <row r="440" ht="17.100000000000001" customHeight="1" x14ac:dyDescent="0.25"/>
    <row r="441" ht="17.100000000000001" customHeight="1" x14ac:dyDescent="0.25"/>
    <row r="442" ht="17.100000000000001" customHeight="1" x14ac:dyDescent="0.25"/>
    <row r="443" ht="17.100000000000001" customHeight="1" x14ac:dyDescent="0.25"/>
    <row r="444" ht="17.100000000000001" customHeight="1" x14ac:dyDescent="0.25"/>
    <row r="445" ht="17.100000000000001" customHeight="1" x14ac:dyDescent="0.25"/>
    <row r="446" ht="30" customHeight="1" x14ac:dyDescent="0.25"/>
    <row r="447" ht="30" customHeight="1" x14ac:dyDescent="0.25"/>
    <row r="448" ht="17.100000000000001" customHeight="1" x14ac:dyDescent="0.25"/>
    <row r="449" ht="17.100000000000001" customHeight="1" x14ac:dyDescent="0.25"/>
    <row r="450" ht="17.100000000000001" customHeight="1" x14ac:dyDescent="0.25"/>
    <row r="451" ht="17.100000000000001" customHeight="1" x14ac:dyDescent="0.25"/>
    <row r="452" ht="30" customHeight="1" x14ac:dyDescent="0.25"/>
    <row r="453" ht="30" customHeight="1" x14ac:dyDescent="0.25"/>
    <row r="454" ht="17.100000000000001" customHeight="1" x14ac:dyDescent="0.25"/>
    <row r="455" ht="17.100000000000001" customHeight="1" x14ac:dyDescent="0.25"/>
    <row r="456" ht="30" customHeight="1" x14ac:dyDescent="0.25"/>
    <row r="457" ht="17.100000000000001" customHeight="1" x14ac:dyDescent="0.25"/>
    <row r="458" ht="17.100000000000001" customHeight="1" x14ac:dyDescent="0.25"/>
    <row r="459" ht="17.100000000000001" customHeight="1" x14ac:dyDescent="0.25"/>
    <row r="460" ht="17.100000000000001" customHeight="1" x14ac:dyDescent="0.25"/>
    <row r="461" ht="17.100000000000001" customHeight="1" x14ac:dyDescent="0.25"/>
    <row r="462" ht="17.100000000000001" customHeight="1" x14ac:dyDescent="0.25"/>
    <row r="463" ht="17.100000000000001" customHeight="1" x14ac:dyDescent="0.25"/>
    <row r="464" ht="17.100000000000001" customHeight="1" x14ac:dyDescent="0.25"/>
    <row r="465" ht="30" customHeight="1" x14ac:dyDescent="0.25"/>
    <row r="466" ht="30" customHeight="1" x14ac:dyDescent="0.25"/>
    <row r="467" ht="30" customHeight="1" x14ac:dyDescent="0.25"/>
    <row r="468" ht="17.100000000000001" customHeight="1" x14ac:dyDescent="0.25"/>
    <row r="469" ht="17.100000000000001" customHeight="1" x14ac:dyDescent="0.25"/>
    <row r="470" ht="17.100000000000001" customHeight="1" x14ac:dyDescent="0.25"/>
    <row r="471" ht="17.100000000000001" customHeight="1" x14ac:dyDescent="0.25"/>
    <row r="472" ht="30" customHeight="1" x14ac:dyDescent="0.25"/>
    <row r="473" ht="30" customHeight="1" x14ac:dyDescent="0.25"/>
    <row r="474" ht="17.100000000000001" customHeight="1" x14ac:dyDescent="0.25"/>
    <row r="475" ht="17.100000000000001" customHeight="1" x14ac:dyDescent="0.25"/>
    <row r="476" ht="17.100000000000001" customHeight="1" x14ac:dyDescent="0.25"/>
    <row r="477" ht="17.100000000000001" customHeight="1" x14ac:dyDescent="0.25"/>
    <row r="478" ht="17.100000000000001" customHeight="1" x14ac:dyDescent="0.25"/>
    <row r="479" ht="17.100000000000001" customHeight="1" x14ac:dyDescent="0.25"/>
    <row r="480" ht="17.100000000000001" customHeight="1" x14ac:dyDescent="0.25"/>
    <row r="481" ht="30" customHeight="1" x14ac:dyDescent="0.25"/>
    <row r="482" ht="30" customHeight="1" x14ac:dyDescent="0.25"/>
    <row r="483" ht="17.100000000000001" customHeight="1" x14ac:dyDescent="0.25"/>
    <row r="484" ht="17.100000000000001" customHeight="1" x14ac:dyDescent="0.25"/>
    <row r="485" ht="17.100000000000001" customHeight="1" x14ac:dyDescent="0.25"/>
    <row r="486" ht="30" customHeight="1" x14ac:dyDescent="0.25"/>
    <row r="487" ht="30" customHeight="1" x14ac:dyDescent="0.25"/>
    <row r="488" ht="17.100000000000001" customHeight="1" x14ac:dyDescent="0.25"/>
    <row r="489" ht="30" customHeight="1" x14ac:dyDescent="0.25"/>
    <row r="490" ht="17.100000000000001" customHeight="1" x14ac:dyDescent="0.25"/>
    <row r="491" ht="17.100000000000001" customHeight="1" x14ac:dyDescent="0.25"/>
    <row r="492" ht="17.100000000000001" customHeight="1" x14ac:dyDescent="0.25"/>
    <row r="493" ht="30" customHeight="1" x14ac:dyDescent="0.25"/>
    <row r="494" ht="17.100000000000001" customHeight="1" x14ac:dyDescent="0.25"/>
    <row r="495" ht="17.100000000000001" customHeight="1" x14ac:dyDescent="0.25"/>
    <row r="496" ht="17.100000000000001" customHeight="1" x14ac:dyDescent="0.25"/>
    <row r="497" ht="17.100000000000001" customHeight="1" x14ac:dyDescent="0.25"/>
    <row r="498" ht="17.100000000000001" customHeight="1" x14ac:dyDescent="0.25"/>
    <row r="499" ht="17.100000000000001" customHeight="1" x14ac:dyDescent="0.25"/>
    <row r="500" ht="17.100000000000001" customHeight="1" x14ac:dyDescent="0.25"/>
    <row r="501" ht="17.100000000000001" customHeight="1" x14ac:dyDescent="0.25"/>
    <row r="502" ht="17.100000000000001" customHeight="1" x14ac:dyDescent="0.25"/>
    <row r="503" ht="17.100000000000001" customHeight="1" x14ac:dyDescent="0.25"/>
    <row r="504" ht="17.100000000000001" customHeight="1" x14ac:dyDescent="0.25"/>
    <row r="505" ht="17.100000000000001" customHeight="1" x14ac:dyDescent="0.25"/>
    <row r="506" ht="30" customHeight="1" x14ac:dyDescent="0.25"/>
    <row r="507" ht="30" customHeight="1" x14ac:dyDescent="0.25"/>
    <row r="508" ht="17.100000000000001" customHeight="1" x14ac:dyDescent="0.25"/>
    <row r="509" ht="30" customHeight="1" x14ac:dyDescent="0.25"/>
    <row r="510" ht="17.100000000000001" customHeight="1" x14ac:dyDescent="0.25"/>
    <row r="511" ht="17.100000000000001" customHeight="1" x14ac:dyDescent="0.25"/>
    <row r="512" ht="17.100000000000001" customHeight="1" x14ac:dyDescent="0.25"/>
    <row r="513" ht="17.100000000000001" customHeight="1" x14ac:dyDescent="0.25"/>
    <row r="514" ht="17.100000000000001" customHeight="1" x14ac:dyDescent="0.25"/>
    <row r="515" ht="24.95" customHeight="1" x14ac:dyDescent="0.25"/>
    <row r="517" ht="21" customHeight="1" x14ac:dyDescent="0.25"/>
    <row r="518" ht="15.95" customHeight="1" x14ac:dyDescent="0.25"/>
    <row r="519" ht="15.95" customHeight="1" x14ac:dyDescent="0.25"/>
    <row r="520" ht="17.100000000000001" customHeight="1" x14ac:dyDescent="0.25"/>
    <row r="521" ht="17.100000000000001" customHeight="1" x14ac:dyDescent="0.25"/>
    <row r="522" ht="17.100000000000001" customHeight="1" x14ac:dyDescent="0.25"/>
    <row r="523" ht="17.100000000000001" customHeight="1" x14ac:dyDescent="0.25"/>
    <row r="524" ht="17.100000000000001" customHeight="1" x14ac:dyDescent="0.25"/>
    <row r="525" ht="17.100000000000001" customHeight="1" x14ac:dyDescent="0.25"/>
    <row r="526" ht="17.100000000000001" customHeight="1" x14ac:dyDescent="0.25"/>
    <row r="527" ht="17.100000000000001" customHeight="1" x14ac:dyDescent="0.25"/>
    <row r="528" ht="30" customHeight="1" x14ac:dyDescent="0.25"/>
    <row r="529" ht="17.100000000000001" customHeight="1" x14ac:dyDescent="0.25"/>
    <row r="530" ht="30" customHeight="1" x14ac:dyDescent="0.25"/>
    <row r="531" ht="17.100000000000001" customHeight="1" x14ac:dyDescent="0.25"/>
    <row r="532" ht="17.100000000000001" customHeight="1" x14ac:dyDescent="0.25"/>
    <row r="533" ht="17.100000000000001" customHeight="1" x14ac:dyDescent="0.25"/>
    <row r="534" ht="17.100000000000001" customHeight="1" x14ac:dyDescent="0.25"/>
    <row r="535" ht="30" customHeight="1" x14ac:dyDescent="0.25"/>
    <row r="536" ht="17.100000000000001" customHeight="1" x14ac:dyDescent="0.25"/>
    <row r="537" ht="17.100000000000001" customHeight="1" x14ac:dyDescent="0.25"/>
    <row r="538" ht="17.100000000000001" customHeight="1" x14ac:dyDescent="0.25"/>
    <row r="539" ht="17.100000000000001" customHeight="1" x14ac:dyDescent="0.25"/>
    <row r="540" ht="17.100000000000001" customHeight="1" x14ac:dyDescent="0.25"/>
    <row r="541" ht="17.100000000000001" customHeight="1" x14ac:dyDescent="0.25"/>
    <row r="542" ht="17.100000000000001" customHeight="1" x14ac:dyDescent="0.25"/>
    <row r="543" ht="17.100000000000001" customHeight="1" x14ac:dyDescent="0.25"/>
    <row r="544" ht="17.100000000000001" customHeight="1" x14ac:dyDescent="0.25"/>
    <row r="545" ht="17.100000000000001" customHeight="1" x14ac:dyDescent="0.25"/>
    <row r="546" ht="30" customHeight="1" x14ac:dyDescent="0.25"/>
    <row r="547" ht="17.100000000000001" customHeight="1" x14ac:dyDescent="0.25"/>
    <row r="548" ht="17.100000000000001" customHeight="1" x14ac:dyDescent="0.25"/>
    <row r="549" ht="30" customHeight="1" x14ac:dyDescent="0.25"/>
    <row r="550" ht="17.100000000000001" customHeight="1" x14ac:dyDescent="0.25"/>
    <row r="551" ht="17.100000000000001" customHeight="1" x14ac:dyDescent="0.25"/>
    <row r="552" ht="17.100000000000001" customHeight="1" x14ac:dyDescent="0.25"/>
    <row r="553" ht="17.100000000000001" customHeight="1" x14ac:dyDescent="0.25"/>
    <row r="554" ht="30" customHeight="1" x14ac:dyDescent="0.25"/>
    <row r="555" ht="17.100000000000001" customHeight="1" x14ac:dyDescent="0.25"/>
    <row r="556" ht="17.100000000000001" customHeight="1" x14ac:dyDescent="0.25"/>
    <row r="557" ht="30" customHeight="1" x14ac:dyDescent="0.25"/>
    <row r="558" ht="17.100000000000001" customHeight="1" x14ac:dyDescent="0.25"/>
    <row r="559" ht="30" customHeight="1" x14ac:dyDescent="0.25"/>
    <row r="560" ht="17.100000000000001" customHeight="1" x14ac:dyDescent="0.25"/>
    <row r="561" ht="17.100000000000001" customHeight="1" x14ac:dyDescent="0.25"/>
    <row r="562" ht="17.100000000000001" customHeight="1" x14ac:dyDescent="0.25"/>
    <row r="563" ht="17.100000000000001" customHeight="1" x14ac:dyDescent="0.25"/>
    <row r="564" ht="17.100000000000001" customHeight="1" x14ac:dyDescent="0.25"/>
    <row r="565" ht="17.100000000000001" customHeight="1" x14ac:dyDescent="0.25"/>
    <row r="566" ht="17.100000000000001" customHeight="1" x14ac:dyDescent="0.25"/>
    <row r="567" ht="17.100000000000001" customHeight="1" x14ac:dyDescent="0.25"/>
    <row r="568" ht="30" customHeight="1" x14ac:dyDescent="0.25"/>
    <row r="569" ht="30" customHeight="1" x14ac:dyDescent="0.25"/>
    <row r="570" ht="17.100000000000001" customHeight="1" x14ac:dyDescent="0.25"/>
    <row r="571" ht="17.100000000000001" customHeight="1" x14ac:dyDescent="0.25"/>
    <row r="572" ht="17.100000000000001" customHeight="1" x14ac:dyDescent="0.25"/>
    <row r="573" ht="17.100000000000001" customHeight="1" x14ac:dyDescent="0.25"/>
    <row r="574" ht="30" customHeight="1" x14ac:dyDescent="0.25"/>
    <row r="575" ht="30" customHeight="1" x14ac:dyDescent="0.25"/>
    <row r="576" ht="17.100000000000001" customHeight="1" x14ac:dyDescent="0.25"/>
    <row r="577" ht="17.100000000000001" customHeight="1" x14ac:dyDescent="0.25"/>
    <row r="578" ht="30" customHeight="1" x14ac:dyDescent="0.25"/>
    <row r="579" ht="17.100000000000001" customHeight="1" x14ac:dyDescent="0.25"/>
    <row r="580" ht="17.100000000000001" customHeight="1" x14ac:dyDescent="0.25"/>
    <row r="581" ht="17.100000000000001" customHeight="1" x14ac:dyDescent="0.25"/>
    <row r="582" ht="17.100000000000001" customHeight="1" x14ac:dyDescent="0.25"/>
    <row r="583" ht="17.100000000000001" customHeight="1" x14ac:dyDescent="0.25"/>
    <row r="584" ht="17.100000000000001" customHeight="1" x14ac:dyDescent="0.25"/>
    <row r="585" ht="17.100000000000001" customHeight="1" x14ac:dyDescent="0.25"/>
    <row r="586" ht="17.100000000000001" customHeight="1" x14ac:dyDescent="0.25"/>
    <row r="587" ht="30" customHeight="1" x14ac:dyDescent="0.25"/>
    <row r="588" ht="30" customHeight="1" x14ac:dyDescent="0.25"/>
    <row r="589" ht="30" customHeight="1" x14ac:dyDescent="0.25"/>
    <row r="590" ht="17.100000000000001" customHeight="1" x14ac:dyDescent="0.25"/>
    <row r="591" ht="17.100000000000001" customHeight="1" x14ac:dyDescent="0.25"/>
    <row r="592" ht="17.100000000000001" customHeight="1" x14ac:dyDescent="0.25"/>
    <row r="593" ht="17.100000000000001" customHeight="1" x14ac:dyDescent="0.25"/>
    <row r="594" ht="30" customHeight="1" x14ac:dyDescent="0.25"/>
    <row r="595" ht="30" customHeight="1" x14ac:dyDescent="0.25"/>
    <row r="596" ht="17.100000000000001" customHeight="1" x14ac:dyDescent="0.25"/>
    <row r="597" ht="17.100000000000001" customHeight="1" x14ac:dyDescent="0.25"/>
    <row r="598" ht="17.100000000000001" customHeight="1" x14ac:dyDescent="0.25"/>
    <row r="599" ht="17.100000000000001" customHeight="1" x14ac:dyDescent="0.25"/>
    <row r="600" ht="17.100000000000001" customHeight="1" x14ac:dyDescent="0.25"/>
    <row r="601" ht="17.100000000000001" customHeight="1" x14ac:dyDescent="0.25"/>
    <row r="602" ht="17.100000000000001" customHeight="1" x14ac:dyDescent="0.25"/>
    <row r="603" ht="30" customHeight="1" x14ac:dyDescent="0.25"/>
    <row r="604" ht="30" customHeight="1" x14ac:dyDescent="0.25"/>
    <row r="605" ht="17.100000000000001" customHeight="1" x14ac:dyDescent="0.25"/>
    <row r="606" ht="17.100000000000001" customHeight="1" x14ac:dyDescent="0.25"/>
    <row r="607" ht="17.100000000000001" customHeight="1" x14ac:dyDescent="0.25"/>
    <row r="608" ht="30" customHeight="1" x14ac:dyDescent="0.25"/>
    <row r="609" ht="30" customHeight="1" x14ac:dyDescent="0.25"/>
    <row r="610" ht="17.100000000000001" customHeight="1" x14ac:dyDescent="0.25"/>
    <row r="611" ht="30" customHeight="1" x14ac:dyDescent="0.25"/>
    <row r="612" ht="17.100000000000001" customHeight="1" x14ac:dyDescent="0.25"/>
    <row r="613" ht="17.100000000000001" customHeight="1" x14ac:dyDescent="0.25"/>
    <row r="614" ht="17.100000000000001" customHeight="1" x14ac:dyDescent="0.25"/>
    <row r="615" ht="30" customHeight="1" x14ac:dyDescent="0.25"/>
    <row r="616" ht="17.100000000000001" customHeight="1" x14ac:dyDescent="0.25"/>
    <row r="617" ht="17.100000000000001" customHeight="1" x14ac:dyDescent="0.25"/>
    <row r="618" ht="17.100000000000001" customHeight="1" x14ac:dyDescent="0.25"/>
    <row r="619" ht="17.100000000000001" customHeight="1" x14ac:dyDescent="0.25"/>
    <row r="620" ht="17.100000000000001" customHeight="1" x14ac:dyDescent="0.25"/>
    <row r="621" ht="17.100000000000001" customHeight="1" x14ac:dyDescent="0.25"/>
    <row r="622" ht="17.100000000000001" customHeight="1" x14ac:dyDescent="0.25"/>
    <row r="623" ht="17.100000000000001" customHeight="1" x14ac:dyDescent="0.25"/>
    <row r="624" ht="17.100000000000001" customHeight="1" x14ac:dyDescent="0.25"/>
    <row r="625" ht="17.100000000000001" customHeight="1" x14ac:dyDescent="0.25"/>
    <row r="626" ht="17.100000000000001" customHeight="1" x14ac:dyDescent="0.25"/>
    <row r="627" ht="17.100000000000001" customHeight="1" x14ac:dyDescent="0.25"/>
    <row r="628" ht="30" customHeight="1" x14ac:dyDescent="0.25"/>
    <row r="629" ht="30" customHeight="1" x14ac:dyDescent="0.25"/>
    <row r="630" ht="17.100000000000001" customHeight="1" x14ac:dyDescent="0.25"/>
    <row r="631" ht="30" customHeight="1" x14ac:dyDescent="0.25"/>
    <row r="632" ht="17.100000000000001" customHeight="1" x14ac:dyDescent="0.25"/>
    <row r="633" ht="17.100000000000001" customHeight="1" x14ac:dyDescent="0.25"/>
    <row r="634" ht="17.100000000000001" customHeight="1" x14ac:dyDescent="0.25"/>
    <row r="635" ht="17.100000000000001" customHeight="1" x14ac:dyDescent="0.25"/>
    <row r="636" ht="17.100000000000001" customHeight="1" x14ac:dyDescent="0.25"/>
    <row r="637" ht="24.95" customHeight="1" x14ac:dyDescent="0.25"/>
    <row r="639" ht="21" customHeight="1" x14ac:dyDescent="0.25"/>
    <row r="640" ht="15.95" customHeight="1" x14ac:dyDescent="0.25"/>
    <row r="641" ht="15.95" customHeight="1" x14ac:dyDescent="0.25"/>
    <row r="642" ht="17.100000000000001" customHeight="1" x14ac:dyDescent="0.25"/>
    <row r="643" ht="17.100000000000001" customHeight="1" x14ac:dyDescent="0.25"/>
    <row r="644" ht="17.100000000000001" customHeight="1" x14ac:dyDescent="0.25"/>
    <row r="645" ht="17.100000000000001" customHeight="1" x14ac:dyDescent="0.25"/>
    <row r="646" ht="17.100000000000001" customHeight="1" x14ac:dyDescent="0.25"/>
    <row r="647" ht="17.100000000000001" customHeight="1" x14ac:dyDescent="0.25"/>
    <row r="648" ht="17.100000000000001" customHeight="1" x14ac:dyDescent="0.25"/>
    <row r="649" ht="17.100000000000001" customHeight="1" x14ac:dyDescent="0.25"/>
    <row r="650" ht="30" customHeight="1" x14ac:dyDescent="0.25"/>
    <row r="651" ht="17.100000000000001" customHeight="1" x14ac:dyDescent="0.25"/>
    <row r="652" ht="30" customHeight="1" x14ac:dyDescent="0.25"/>
    <row r="653" ht="17.100000000000001" customHeight="1" x14ac:dyDescent="0.25"/>
    <row r="654" ht="17.100000000000001" customHeight="1" x14ac:dyDescent="0.25"/>
    <row r="655" ht="17.100000000000001" customHeight="1" x14ac:dyDescent="0.25"/>
    <row r="656" ht="17.100000000000001" customHeight="1" x14ac:dyDescent="0.25"/>
    <row r="657" ht="30" customHeight="1" x14ac:dyDescent="0.25"/>
    <row r="658" ht="17.100000000000001" customHeight="1" x14ac:dyDescent="0.25"/>
    <row r="659" ht="17.100000000000001" customHeight="1" x14ac:dyDescent="0.25"/>
    <row r="660" ht="17.100000000000001" customHeight="1" x14ac:dyDescent="0.25"/>
    <row r="661" ht="17.100000000000001" customHeight="1" x14ac:dyDescent="0.25"/>
    <row r="662" ht="17.100000000000001" customHeight="1" x14ac:dyDescent="0.25"/>
    <row r="663" ht="17.100000000000001" customHeight="1" x14ac:dyDescent="0.25"/>
    <row r="664" ht="17.100000000000001" customHeight="1" x14ac:dyDescent="0.25"/>
    <row r="665" ht="17.100000000000001" customHeight="1" x14ac:dyDescent="0.25"/>
    <row r="666" ht="17.100000000000001" customHeight="1" x14ac:dyDescent="0.25"/>
    <row r="667" ht="17.100000000000001" customHeight="1" x14ac:dyDescent="0.25"/>
    <row r="668" ht="30" customHeight="1" x14ac:dyDescent="0.25"/>
    <row r="669" ht="17.100000000000001" customHeight="1" x14ac:dyDescent="0.25"/>
    <row r="670" ht="17.100000000000001" customHeight="1" x14ac:dyDescent="0.25"/>
    <row r="671" ht="30" customHeight="1" x14ac:dyDescent="0.25"/>
    <row r="672" ht="17.100000000000001" customHeight="1" x14ac:dyDescent="0.25"/>
    <row r="673" ht="17.100000000000001" customHeight="1" x14ac:dyDescent="0.25"/>
    <row r="674" ht="17.100000000000001" customHeight="1" x14ac:dyDescent="0.25"/>
    <row r="675" ht="17.100000000000001" customHeight="1" x14ac:dyDescent="0.25"/>
    <row r="676" ht="30" customHeight="1" x14ac:dyDescent="0.25"/>
    <row r="677" ht="17.100000000000001" customHeight="1" x14ac:dyDescent="0.25"/>
    <row r="678" ht="17.100000000000001" customHeight="1" x14ac:dyDescent="0.25"/>
    <row r="679" ht="30" customHeight="1" x14ac:dyDescent="0.25"/>
    <row r="680" ht="17.100000000000001" customHeight="1" x14ac:dyDescent="0.25"/>
    <row r="681" ht="30" customHeight="1" x14ac:dyDescent="0.25"/>
    <row r="682" ht="17.100000000000001" customHeight="1" x14ac:dyDescent="0.25"/>
    <row r="683" ht="17.100000000000001" customHeight="1" x14ac:dyDescent="0.25"/>
    <row r="684" ht="17.100000000000001" customHeight="1" x14ac:dyDescent="0.25"/>
    <row r="685" ht="17.100000000000001" customHeight="1" x14ac:dyDescent="0.25"/>
    <row r="686" ht="17.100000000000001" customHeight="1" x14ac:dyDescent="0.25"/>
    <row r="687" ht="17.100000000000001" customHeight="1" x14ac:dyDescent="0.25"/>
    <row r="688" ht="17.100000000000001" customHeight="1" x14ac:dyDescent="0.25"/>
    <row r="689" ht="17.100000000000001" customHeight="1" x14ac:dyDescent="0.25"/>
    <row r="690" ht="30" customHeight="1" x14ac:dyDescent="0.25"/>
    <row r="691" ht="30" customHeight="1" x14ac:dyDescent="0.25"/>
    <row r="692" ht="17.100000000000001" customHeight="1" x14ac:dyDescent="0.25"/>
    <row r="693" ht="17.100000000000001" customHeight="1" x14ac:dyDescent="0.25"/>
    <row r="694" ht="17.100000000000001" customHeight="1" x14ac:dyDescent="0.25"/>
    <row r="695" ht="17.100000000000001" customHeight="1" x14ac:dyDescent="0.25"/>
    <row r="696" ht="30" customHeight="1" x14ac:dyDescent="0.25"/>
    <row r="697" ht="30" customHeight="1" x14ac:dyDescent="0.25"/>
    <row r="698" ht="17.100000000000001" customHeight="1" x14ac:dyDescent="0.25"/>
    <row r="699" ht="17.100000000000001" customHeight="1" x14ac:dyDescent="0.25"/>
    <row r="700" ht="30" customHeight="1" x14ac:dyDescent="0.25"/>
    <row r="701" ht="17.100000000000001" customHeight="1" x14ac:dyDescent="0.25"/>
    <row r="702" ht="17.100000000000001" customHeight="1" x14ac:dyDescent="0.25"/>
    <row r="703" ht="17.100000000000001" customHeight="1" x14ac:dyDescent="0.25"/>
    <row r="704" ht="17.100000000000001" customHeight="1" x14ac:dyDescent="0.25"/>
    <row r="705" ht="17.100000000000001" customHeight="1" x14ac:dyDescent="0.25"/>
    <row r="706" ht="17.100000000000001" customHeight="1" x14ac:dyDescent="0.25"/>
    <row r="707" ht="17.100000000000001" customHeight="1" x14ac:dyDescent="0.25"/>
    <row r="708" ht="17.100000000000001" customHeight="1" x14ac:dyDescent="0.25"/>
    <row r="709" ht="30" customHeight="1" x14ac:dyDescent="0.25"/>
    <row r="710" ht="30" customHeight="1" x14ac:dyDescent="0.25"/>
    <row r="711" ht="30" customHeight="1" x14ac:dyDescent="0.25"/>
    <row r="712" ht="17.100000000000001" customHeight="1" x14ac:dyDescent="0.25"/>
    <row r="713" ht="17.100000000000001" customHeight="1" x14ac:dyDescent="0.25"/>
    <row r="714" ht="17.100000000000001" customHeight="1" x14ac:dyDescent="0.25"/>
    <row r="715" ht="17.100000000000001" customHeight="1" x14ac:dyDescent="0.25"/>
    <row r="716" ht="30" customHeight="1" x14ac:dyDescent="0.25"/>
    <row r="717" ht="30" customHeight="1" x14ac:dyDescent="0.25"/>
    <row r="718" ht="17.100000000000001" customHeight="1" x14ac:dyDescent="0.25"/>
    <row r="719" ht="17.100000000000001" customHeight="1" x14ac:dyDescent="0.25"/>
    <row r="720" ht="17.100000000000001" customHeight="1" x14ac:dyDescent="0.25"/>
    <row r="721" ht="17.100000000000001" customHeight="1" x14ac:dyDescent="0.25"/>
    <row r="722" ht="17.100000000000001" customHeight="1" x14ac:dyDescent="0.25"/>
    <row r="723" ht="17.100000000000001" customHeight="1" x14ac:dyDescent="0.25"/>
    <row r="724" ht="17.100000000000001" customHeight="1" x14ac:dyDescent="0.25"/>
    <row r="725" ht="30" customHeight="1" x14ac:dyDescent="0.25"/>
    <row r="726" ht="30" customHeight="1" x14ac:dyDescent="0.25"/>
    <row r="727" ht="17.100000000000001" customHeight="1" x14ac:dyDescent="0.25"/>
    <row r="728" ht="17.100000000000001" customHeight="1" x14ac:dyDescent="0.25"/>
    <row r="729" ht="17.100000000000001" customHeight="1" x14ac:dyDescent="0.25"/>
    <row r="730" ht="30" customHeight="1" x14ac:dyDescent="0.25"/>
    <row r="731" ht="30" customHeight="1" x14ac:dyDescent="0.25"/>
    <row r="732" ht="17.100000000000001" customHeight="1" x14ac:dyDescent="0.25"/>
    <row r="733" ht="30" customHeight="1" x14ac:dyDescent="0.25"/>
    <row r="734" ht="17.100000000000001" customHeight="1" x14ac:dyDescent="0.25"/>
    <row r="735" ht="17.100000000000001" customHeight="1" x14ac:dyDescent="0.25"/>
    <row r="736" ht="17.100000000000001" customHeight="1" x14ac:dyDescent="0.25"/>
    <row r="737" ht="30" customHeight="1" x14ac:dyDescent="0.25"/>
    <row r="738" ht="17.100000000000001" customHeight="1" x14ac:dyDescent="0.25"/>
    <row r="739" ht="17.100000000000001" customHeight="1" x14ac:dyDescent="0.25"/>
    <row r="740" ht="17.100000000000001" customHeight="1" x14ac:dyDescent="0.25"/>
    <row r="741" ht="17.100000000000001" customHeight="1" x14ac:dyDescent="0.25"/>
    <row r="742" ht="17.100000000000001" customHeight="1" x14ac:dyDescent="0.25"/>
    <row r="743" ht="17.100000000000001" customHeight="1" x14ac:dyDescent="0.25"/>
    <row r="744" ht="17.100000000000001" customHeight="1" x14ac:dyDescent="0.25"/>
    <row r="745" ht="17.100000000000001" customHeight="1" x14ac:dyDescent="0.25"/>
    <row r="746" ht="17.100000000000001" customHeight="1" x14ac:dyDescent="0.25"/>
    <row r="747" ht="17.100000000000001" customHeight="1" x14ac:dyDescent="0.25"/>
    <row r="748" ht="17.100000000000001" customHeight="1" x14ac:dyDescent="0.25"/>
    <row r="749" ht="17.100000000000001" customHeight="1" x14ac:dyDescent="0.25"/>
    <row r="750" ht="30" customHeight="1" x14ac:dyDescent="0.25"/>
    <row r="751" ht="30" customHeight="1" x14ac:dyDescent="0.25"/>
    <row r="752" ht="17.100000000000001" customHeight="1" x14ac:dyDescent="0.25"/>
    <row r="753" ht="30" customHeight="1" x14ac:dyDescent="0.25"/>
    <row r="754" ht="17.100000000000001" customHeight="1" x14ac:dyDescent="0.25"/>
    <row r="755" ht="17.100000000000001" customHeight="1" x14ac:dyDescent="0.25"/>
    <row r="756" ht="17.100000000000001" customHeight="1" x14ac:dyDescent="0.25"/>
    <row r="757" ht="17.100000000000001" customHeight="1" x14ac:dyDescent="0.25"/>
    <row r="758" ht="17.100000000000001" customHeight="1" x14ac:dyDescent="0.25"/>
    <row r="759" ht="24.95" customHeight="1" x14ac:dyDescent="0.25"/>
  </sheetData>
  <mergeCells count="4">
    <mergeCell ref="A3:A4"/>
    <mergeCell ref="B3:C3"/>
    <mergeCell ref="D3:E3"/>
    <mergeCell ref="A2:E2"/>
  </mergeCells>
  <pageMargins left="0.7" right="0.7" top="0.75" bottom="0.75" header="0.3" footer="0.3"/>
  <pageSetup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2"/>
  <sheetViews>
    <sheetView workbookViewId="0">
      <selection activeCell="K1" sqref="K1"/>
    </sheetView>
  </sheetViews>
  <sheetFormatPr defaultRowHeight="15" x14ac:dyDescent="0.25"/>
  <cols>
    <col min="1" max="1" width="21.140625" customWidth="1"/>
    <col min="2" max="2" width="10.7109375" customWidth="1"/>
    <col min="3" max="3" width="13.5703125" customWidth="1"/>
    <col min="4" max="4" width="14.42578125" customWidth="1"/>
    <col min="5" max="5" width="10.42578125" customWidth="1"/>
    <col min="6" max="6" width="12.28515625" customWidth="1"/>
    <col min="7" max="7" width="11.42578125" customWidth="1"/>
    <col min="8" max="8" width="10.140625" customWidth="1"/>
  </cols>
  <sheetData>
    <row r="1" spans="1:19" ht="30" customHeight="1" x14ac:dyDescent="0.25"/>
    <row r="2" spans="1:19" ht="50.25" customHeight="1" thickBot="1" x14ac:dyDescent="0.3">
      <c r="A2" s="1456" t="s">
        <v>475</v>
      </c>
      <c r="B2" s="1457"/>
      <c r="C2" s="1457"/>
      <c r="D2" s="1457"/>
      <c r="E2" s="1457"/>
      <c r="F2" s="1457"/>
      <c r="G2" s="1457"/>
      <c r="H2" s="1458"/>
      <c r="K2" s="1229" t="s">
        <v>476</v>
      </c>
      <c r="L2" s="1229"/>
      <c r="M2" s="1229"/>
      <c r="N2" s="1229"/>
      <c r="O2" s="1229"/>
      <c r="P2" s="1229"/>
      <c r="Q2" s="1229"/>
      <c r="R2" s="1229"/>
      <c r="S2" s="1229"/>
    </row>
    <row r="3" spans="1:19" ht="48" customHeight="1" thickBot="1" x14ac:dyDescent="0.3">
      <c r="A3" s="1459"/>
      <c r="B3" s="1460"/>
      <c r="C3" s="1191" t="s">
        <v>302</v>
      </c>
      <c r="D3" s="1024" t="s">
        <v>295</v>
      </c>
      <c r="E3" s="1024" t="s">
        <v>275</v>
      </c>
      <c r="F3" s="1024" t="s">
        <v>308</v>
      </c>
      <c r="G3" s="1024" t="s">
        <v>278</v>
      </c>
      <c r="H3" s="1025" t="s">
        <v>279</v>
      </c>
    </row>
    <row r="4" spans="1:19" x14ac:dyDescent="0.25">
      <c r="A4" s="1461" t="s">
        <v>472</v>
      </c>
      <c r="B4" s="1026" t="s">
        <v>12</v>
      </c>
      <c r="C4" s="1192">
        <v>106.29542694055041</v>
      </c>
      <c r="D4" s="1027">
        <v>174.499000300365</v>
      </c>
      <c r="E4" s="1027">
        <v>197.63805237227396</v>
      </c>
      <c r="F4" s="1027">
        <v>52.590624026404811</v>
      </c>
      <c r="G4" s="1027">
        <v>144.68510130161832</v>
      </c>
      <c r="H4" s="1028">
        <v>93.276093235349478</v>
      </c>
    </row>
    <row r="5" spans="1:19" ht="15.75" thickBot="1" x14ac:dyDescent="0.3">
      <c r="A5" s="1462"/>
      <c r="B5" s="1029" t="s">
        <v>11</v>
      </c>
      <c r="C5" s="1193">
        <v>182.75588575227465</v>
      </c>
      <c r="D5" s="1030">
        <v>401.61155823064735</v>
      </c>
      <c r="E5" s="1030">
        <v>277.25870133149897</v>
      </c>
      <c r="F5" s="1030">
        <v>91.419685175778525</v>
      </c>
      <c r="G5" s="1030">
        <v>331.61598889129937</v>
      </c>
      <c r="H5" s="1031">
        <v>195.46294040465509</v>
      </c>
    </row>
    <row r="6" spans="1:19" x14ac:dyDescent="0.25">
      <c r="A6" s="1463"/>
      <c r="B6" s="1463"/>
      <c r="C6" s="1463"/>
      <c r="D6" s="1463"/>
      <c r="E6" s="1463"/>
      <c r="F6" s="1463"/>
      <c r="G6" s="1463"/>
      <c r="H6" s="1463"/>
    </row>
    <row r="8" spans="1:19" ht="46.5" customHeight="1" x14ac:dyDescent="0.25">
      <c r="A8" s="1229" t="s">
        <v>473</v>
      </c>
      <c r="B8" s="1229"/>
      <c r="C8" s="1229"/>
      <c r="D8" s="1229"/>
      <c r="E8" s="1229"/>
      <c r="F8" s="1229"/>
      <c r="G8" s="1229"/>
      <c r="H8" s="1229"/>
    </row>
    <row r="9" spans="1:19" ht="15.75" thickBot="1" x14ac:dyDescent="0.3"/>
    <row r="10" spans="1:19" ht="52.5" customHeight="1" thickBot="1" x14ac:dyDescent="0.3">
      <c r="A10" s="1194"/>
      <c r="B10" s="1197" t="s">
        <v>302</v>
      </c>
      <c r="C10" s="625" t="s">
        <v>474</v>
      </c>
      <c r="D10" s="625" t="s">
        <v>275</v>
      </c>
      <c r="E10" s="625" t="s">
        <v>365</v>
      </c>
      <c r="F10" s="625" t="s">
        <v>278</v>
      </c>
      <c r="G10" s="626" t="s">
        <v>279</v>
      </c>
    </row>
    <row r="11" spans="1:19" x14ac:dyDescent="0.25">
      <c r="A11" s="1195" t="s">
        <v>12</v>
      </c>
      <c r="B11" s="1198">
        <f t="shared" ref="B11:G12" si="0">C4/60</f>
        <v>1.7715904490091736</v>
      </c>
      <c r="C11" s="615">
        <f t="shared" si="0"/>
        <v>2.90831667167275</v>
      </c>
      <c r="D11" s="615">
        <f t="shared" si="0"/>
        <v>3.2939675395378996</v>
      </c>
      <c r="E11" s="615">
        <f t="shared" si="0"/>
        <v>0.87651040044008022</v>
      </c>
      <c r="F11" s="615">
        <f t="shared" si="0"/>
        <v>2.4114183550269721</v>
      </c>
      <c r="G11" s="616">
        <f t="shared" si="0"/>
        <v>1.5546015539224913</v>
      </c>
    </row>
    <row r="12" spans="1:19" ht="15.75" thickBot="1" x14ac:dyDescent="0.3">
      <c r="A12" s="1196" t="s">
        <v>11</v>
      </c>
      <c r="B12" s="1199">
        <f t="shared" si="0"/>
        <v>3.0459314292045776</v>
      </c>
      <c r="C12" s="618">
        <f t="shared" si="0"/>
        <v>6.6935259705107892</v>
      </c>
      <c r="D12" s="618">
        <f t="shared" si="0"/>
        <v>4.6209783555249828</v>
      </c>
      <c r="E12" s="618">
        <f t="shared" si="0"/>
        <v>1.5236614195963087</v>
      </c>
      <c r="F12" s="618">
        <f t="shared" si="0"/>
        <v>5.5269331481883226</v>
      </c>
      <c r="G12" s="619">
        <f t="shared" si="0"/>
        <v>3.2577156734109183</v>
      </c>
    </row>
  </sheetData>
  <mergeCells count="6">
    <mergeCell ref="A8:H8"/>
    <mergeCell ref="K2:S2"/>
    <mergeCell ref="A2:H2"/>
    <mergeCell ref="A3:B3"/>
    <mergeCell ref="A4:A5"/>
    <mergeCell ref="A6:H6"/>
  </mergeCells>
  <pageMargins left="0.7" right="0.7" top="0.75" bottom="0.75" header="0.3" footer="0.3"/>
  <pageSetup orientation="portrait" horizontalDpi="0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13"/>
  <sheetViews>
    <sheetView zoomScaleNormal="100" workbookViewId="0">
      <selection activeCell="H1" sqref="H1"/>
    </sheetView>
  </sheetViews>
  <sheetFormatPr defaultRowHeight="15" x14ac:dyDescent="0.25"/>
  <cols>
    <col min="1" max="1" width="25.140625" customWidth="1"/>
    <col min="2" max="2" width="18" customWidth="1"/>
    <col min="3" max="3" width="14.5703125" customWidth="1"/>
    <col min="4" max="4" width="13.42578125" customWidth="1"/>
    <col min="5" max="5" width="14" customWidth="1"/>
    <col min="12" max="19" width="8.5703125" customWidth="1"/>
  </cols>
  <sheetData>
    <row r="1" spans="1:17" ht="27" customHeight="1" x14ac:dyDescent="0.25"/>
    <row r="2" spans="1:17" ht="49.5" customHeight="1" x14ac:dyDescent="0.25">
      <c r="A2" s="1464" t="s">
        <v>467</v>
      </c>
      <c r="B2" s="1464"/>
      <c r="C2" s="1464"/>
      <c r="D2" s="1464"/>
      <c r="E2" s="1464"/>
      <c r="H2" s="1229" t="s">
        <v>468</v>
      </c>
      <c r="I2" s="1229"/>
      <c r="J2" s="1229"/>
      <c r="K2" s="1229"/>
      <c r="L2" s="1229"/>
      <c r="M2" s="1229"/>
      <c r="N2" s="1229"/>
      <c r="O2" s="1229"/>
      <c r="P2" s="1229"/>
      <c r="Q2" s="1229"/>
    </row>
    <row r="3" spans="1:17" ht="15.75" thickBot="1" x14ac:dyDescent="0.3">
      <c r="A3" s="282"/>
      <c r="B3" s="197"/>
      <c r="C3" s="198"/>
      <c r="D3" s="198"/>
      <c r="E3" s="199"/>
    </row>
    <row r="4" spans="1:17" ht="15.75" thickBot="1" x14ac:dyDescent="0.3">
      <c r="A4" s="1182"/>
      <c r="B4" s="627" t="s">
        <v>65</v>
      </c>
      <c r="C4" s="628" t="s">
        <v>66</v>
      </c>
      <c r="D4" s="629" t="s">
        <v>67</v>
      </c>
      <c r="E4" s="630" t="s">
        <v>68</v>
      </c>
    </row>
    <row r="5" spans="1:17" ht="18" customHeight="1" x14ac:dyDescent="0.25">
      <c r="A5" s="1183" t="s">
        <v>74</v>
      </c>
      <c r="B5" s="1186">
        <v>24.506165185343701</v>
      </c>
      <c r="C5" s="631">
        <v>134.65436995682472</v>
      </c>
      <c r="D5" s="632">
        <v>12.100375643404361</v>
      </c>
      <c r="E5" s="633">
        <v>81.413276056166026</v>
      </c>
    </row>
    <row r="6" spans="1:17" ht="28.5" customHeight="1" x14ac:dyDescent="0.25">
      <c r="A6" s="1184" t="s">
        <v>709</v>
      </c>
      <c r="B6" s="1187">
        <v>36.699231740655918</v>
      </c>
      <c r="C6" s="634">
        <v>49.773900729890428</v>
      </c>
      <c r="D6" s="635">
        <v>18.339909759029819</v>
      </c>
      <c r="E6" s="636">
        <v>31.298290814982877</v>
      </c>
    </row>
    <row r="7" spans="1:17" ht="18" customHeight="1" x14ac:dyDescent="0.25">
      <c r="A7" s="1184" t="s">
        <v>70</v>
      </c>
      <c r="B7" s="1187">
        <v>0.75635866549083186</v>
      </c>
      <c r="C7" s="634">
        <v>13.671956131384148</v>
      </c>
      <c r="D7" s="635">
        <v>0.42036880420703865</v>
      </c>
      <c r="E7" s="636">
        <v>15.429232949392382</v>
      </c>
    </row>
    <row r="8" spans="1:17" ht="18" customHeight="1" x14ac:dyDescent="0.25">
      <c r="A8" s="1184" t="s">
        <v>71</v>
      </c>
      <c r="B8" s="1187">
        <v>4.4425489963867424</v>
      </c>
      <c r="C8" s="634">
        <v>21.178588613775887</v>
      </c>
      <c r="D8" s="635">
        <v>17.111527949849425</v>
      </c>
      <c r="E8" s="636">
        <v>32.280649865410638</v>
      </c>
    </row>
    <row r="9" spans="1:17" ht="18" customHeight="1" x14ac:dyDescent="0.25">
      <c r="A9" s="1184" t="s">
        <v>72</v>
      </c>
      <c r="B9" s="1187">
        <v>17.088420387077242</v>
      </c>
      <c r="C9" s="634">
        <v>17.279949086896249</v>
      </c>
      <c r="D9" s="635">
        <v>12.541702080213662</v>
      </c>
      <c r="E9" s="636">
        <v>14.186930165769912</v>
      </c>
    </row>
    <row r="10" spans="1:17" ht="28.5" customHeight="1" x14ac:dyDescent="0.25">
      <c r="A10" s="1184" t="s">
        <v>469</v>
      </c>
      <c r="B10" s="1187">
        <v>36.637365892236936</v>
      </c>
      <c r="C10" s="634">
        <v>23.153198243483654</v>
      </c>
      <c r="D10" s="635">
        <v>11.512110366200732</v>
      </c>
      <c r="E10" s="636">
        <v>6.9024781293555613</v>
      </c>
    </row>
    <row r="11" spans="1:17" ht="29.25" customHeight="1" x14ac:dyDescent="0.25">
      <c r="A11" s="1184" t="s">
        <v>471</v>
      </c>
      <c r="B11" s="1187">
        <v>18.132503824039318</v>
      </c>
      <c r="C11" s="634">
        <v>16.136895370354633</v>
      </c>
      <c r="D11" s="635">
        <v>11.576991452666309</v>
      </c>
      <c r="E11" s="636">
        <v>12.334168652641043</v>
      </c>
    </row>
    <row r="12" spans="1:17" ht="25.5" customHeight="1" thickBot="1" x14ac:dyDescent="0.3">
      <c r="A12" s="1185" t="s">
        <v>470</v>
      </c>
      <c r="B12" s="1188">
        <v>16.60459258727445</v>
      </c>
      <c r="C12" s="637">
        <v>4.2839004882580696</v>
      </c>
      <c r="D12" s="638">
        <v>9.6731071797781176</v>
      </c>
      <c r="E12" s="639">
        <v>1.6179137709365627</v>
      </c>
    </row>
    <row r="13" spans="1:17" x14ac:dyDescent="0.25">
      <c r="A13" s="1465"/>
      <c r="B13" s="1466"/>
      <c r="C13" s="1466"/>
      <c r="D13" s="1466"/>
      <c r="E13" s="1467"/>
    </row>
  </sheetData>
  <mergeCells count="3">
    <mergeCell ref="A2:E2"/>
    <mergeCell ref="A13:E13"/>
    <mergeCell ref="H2:Q2"/>
  </mergeCells>
  <pageMargins left="0.7" right="0.7" top="0.75" bottom="0.75" header="0.3" footer="0.3"/>
  <pageSetup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8"/>
  <sheetViews>
    <sheetView workbookViewId="0">
      <selection activeCell="E1" sqref="E1"/>
    </sheetView>
  </sheetViews>
  <sheetFormatPr defaultRowHeight="15" x14ac:dyDescent="0.25"/>
  <cols>
    <col min="1" max="1" width="28.28515625" customWidth="1"/>
    <col min="2" max="2" width="13.85546875" customWidth="1"/>
    <col min="3" max="3" width="18.42578125" customWidth="1"/>
  </cols>
  <sheetData>
    <row r="1" spans="1:13" ht="27" customHeight="1" x14ac:dyDescent="0.25"/>
    <row r="2" spans="1:13" ht="60.75" customHeight="1" thickBot="1" x14ac:dyDescent="0.3">
      <c r="A2" s="1468" t="s">
        <v>465</v>
      </c>
      <c r="B2" s="1469"/>
      <c r="C2" s="1470"/>
      <c r="E2" s="1229" t="s">
        <v>466</v>
      </c>
      <c r="F2" s="1229"/>
      <c r="G2" s="1229"/>
      <c r="H2" s="1229"/>
      <c r="I2" s="1229"/>
      <c r="J2" s="1229"/>
      <c r="K2" s="1229"/>
      <c r="L2" s="1229"/>
      <c r="M2" s="1229"/>
    </row>
    <row r="3" spans="1:13" ht="15.75" thickBot="1" x14ac:dyDescent="0.3">
      <c r="A3" s="1189"/>
      <c r="B3" s="1190" t="s">
        <v>12</v>
      </c>
      <c r="C3" s="1023" t="s">
        <v>11</v>
      </c>
    </row>
    <row r="4" spans="1:13" ht="29.25" customHeight="1" x14ac:dyDescent="0.25">
      <c r="A4" s="642" t="s">
        <v>462</v>
      </c>
      <c r="B4" s="643">
        <v>73.734941598537304</v>
      </c>
      <c r="C4" s="644">
        <v>188.12736399588329</v>
      </c>
    </row>
    <row r="5" spans="1:13" ht="18.75" customHeight="1" x14ac:dyDescent="0.25">
      <c r="A5" s="648" t="s">
        <v>294</v>
      </c>
      <c r="B5" s="649">
        <v>22.478336931396161</v>
      </c>
      <c r="C5" s="650">
        <v>121.94249880643723</v>
      </c>
    </row>
    <row r="6" spans="1:13" ht="18" customHeight="1" x14ac:dyDescent="0.25">
      <c r="A6" s="645" t="s">
        <v>293</v>
      </c>
      <c r="B6" s="646">
        <v>108.83957936228877</v>
      </c>
      <c r="C6" s="647">
        <v>114.17001343531369</v>
      </c>
    </row>
    <row r="7" spans="1:13" ht="18.75" customHeight="1" x14ac:dyDescent="0.25">
      <c r="A7" s="645" t="s">
        <v>301</v>
      </c>
      <c r="B7" s="646">
        <v>50.811506730450063</v>
      </c>
      <c r="C7" s="647">
        <v>69.952719343154754</v>
      </c>
    </row>
    <row r="8" spans="1:13" ht="28.5" customHeight="1" thickBot="1" x14ac:dyDescent="0.3">
      <c r="A8" s="651" t="s">
        <v>463</v>
      </c>
      <c r="B8" s="652">
        <v>8.593812861515989</v>
      </c>
      <c r="C8" s="653">
        <v>12.566290894978097</v>
      </c>
    </row>
  </sheetData>
  <mergeCells count="2">
    <mergeCell ref="A2:C2"/>
    <mergeCell ref="E2:M2"/>
  </mergeCells>
  <pageMargins left="0.7" right="0.7" top="0.75" bottom="0.75" header="0.3" footer="0.3"/>
  <pageSetup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M11"/>
  <sheetViews>
    <sheetView workbookViewId="0">
      <selection activeCell="E1" sqref="E1"/>
    </sheetView>
  </sheetViews>
  <sheetFormatPr defaultRowHeight="15" x14ac:dyDescent="0.25"/>
  <cols>
    <col min="1" max="1" width="30" customWidth="1"/>
    <col min="2" max="2" width="14.85546875" customWidth="1"/>
    <col min="3" max="3" width="17.42578125" customWidth="1"/>
  </cols>
  <sheetData>
    <row r="1" spans="1:13" ht="28.5" customHeight="1" x14ac:dyDescent="0.25"/>
    <row r="2" spans="1:13" ht="54" customHeight="1" thickBot="1" x14ac:dyDescent="0.3">
      <c r="A2" s="1468" t="s">
        <v>464</v>
      </c>
      <c r="B2" s="1469"/>
      <c r="C2" s="1470"/>
      <c r="E2" s="1471" t="s">
        <v>628</v>
      </c>
      <c r="F2" s="1471"/>
      <c r="G2" s="1471"/>
      <c r="H2" s="1471"/>
      <c r="I2" s="1471"/>
      <c r="J2" s="1471"/>
      <c r="K2" s="1471"/>
      <c r="L2" s="1471"/>
      <c r="M2" s="1471"/>
    </row>
    <row r="3" spans="1:13" ht="15.95" customHeight="1" thickBot="1" x14ac:dyDescent="0.3">
      <c r="A3" s="1076"/>
      <c r="B3" s="640" t="s">
        <v>12</v>
      </c>
      <c r="C3" s="641" t="s">
        <v>11</v>
      </c>
    </row>
    <row r="4" spans="1:13" ht="36.75" customHeight="1" x14ac:dyDescent="0.25">
      <c r="A4" s="642" t="s">
        <v>462</v>
      </c>
      <c r="B4" s="643">
        <v>46.009236624311797</v>
      </c>
      <c r="C4" s="644">
        <v>105.3799470202071</v>
      </c>
    </row>
    <row r="5" spans="1:13" ht="21" customHeight="1" x14ac:dyDescent="0.25">
      <c r="A5" s="645" t="s">
        <v>293</v>
      </c>
      <c r="B5" s="646">
        <v>99.431775163112533</v>
      </c>
      <c r="C5" s="647">
        <v>91.161132459042094</v>
      </c>
    </row>
    <row r="6" spans="1:13" ht="24" customHeight="1" x14ac:dyDescent="0.25">
      <c r="A6" s="648" t="s">
        <v>294</v>
      </c>
      <c r="B6" s="649">
        <v>17.870713522698605</v>
      </c>
      <c r="C6" s="650">
        <v>80.563354809438536</v>
      </c>
    </row>
    <row r="7" spans="1:13" ht="19.5" customHeight="1" x14ac:dyDescent="0.25">
      <c r="A7" s="645" t="s">
        <v>301</v>
      </c>
      <c r="B7" s="646">
        <v>46.747202952375254</v>
      </c>
      <c r="C7" s="647">
        <v>58.486574798800277</v>
      </c>
    </row>
    <row r="8" spans="1:13" ht="35.25" customHeight="1" thickBot="1" x14ac:dyDescent="0.3">
      <c r="A8" s="651" t="s">
        <v>463</v>
      </c>
      <c r="B8" s="652">
        <v>6.2088541108217452</v>
      </c>
      <c r="C8" s="653">
        <v>7.89670337731018</v>
      </c>
    </row>
    <row r="9" spans="1:13" ht="17.100000000000001" customHeight="1" x14ac:dyDescent="0.25"/>
    <row r="11" spans="1:13" ht="30" customHeight="1" x14ac:dyDescent="0.25"/>
  </sheetData>
  <mergeCells count="2">
    <mergeCell ref="A2:C2"/>
    <mergeCell ref="E2:M2"/>
  </mergeCell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4"/>
  <sheetViews>
    <sheetView workbookViewId="0">
      <selection activeCell="H1" sqref="H1"/>
    </sheetView>
  </sheetViews>
  <sheetFormatPr defaultRowHeight="15" x14ac:dyDescent="0.25"/>
  <cols>
    <col min="1" max="1" width="23" customWidth="1"/>
    <col min="2" max="2" width="13.140625" customWidth="1"/>
    <col min="3" max="3" width="12.42578125" customWidth="1"/>
    <col min="4" max="4" width="13.7109375" customWidth="1"/>
    <col min="5" max="5" width="12.42578125" customWidth="1"/>
  </cols>
  <sheetData>
    <row r="1" spans="1:17" ht="21" customHeight="1" x14ac:dyDescent="0.25"/>
    <row r="2" spans="1:17" ht="46.5" customHeight="1" thickBot="1" x14ac:dyDescent="0.3">
      <c r="A2" s="1478" t="s">
        <v>459</v>
      </c>
      <c r="B2" s="1479"/>
      <c r="C2" s="1479"/>
      <c r="D2" s="1479"/>
      <c r="E2" s="1480"/>
      <c r="H2" s="1229" t="s">
        <v>458</v>
      </c>
      <c r="I2" s="1229"/>
      <c r="J2" s="1229"/>
      <c r="K2" s="1229"/>
      <c r="L2" s="1229"/>
      <c r="M2" s="1229"/>
      <c r="N2" s="1229"/>
      <c r="O2" s="1229"/>
      <c r="P2" s="1229"/>
      <c r="Q2" s="1229"/>
    </row>
    <row r="3" spans="1:17" x14ac:dyDescent="0.25">
      <c r="A3" s="1481"/>
      <c r="B3" s="1483" t="s">
        <v>59</v>
      </c>
      <c r="C3" s="1484"/>
      <c r="D3" s="1485" t="s">
        <v>60</v>
      </c>
      <c r="E3" s="1486"/>
    </row>
    <row r="4" spans="1:17" ht="15.75" thickBot="1" x14ac:dyDescent="0.3">
      <c r="A4" s="1482"/>
      <c r="B4" s="1004" t="s">
        <v>12</v>
      </c>
      <c r="C4" s="1005" t="s">
        <v>11</v>
      </c>
      <c r="D4" s="1006" t="s">
        <v>12</v>
      </c>
      <c r="E4" s="1007" t="s">
        <v>11</v>
      </c>
    </row>
    <row r="5" spans="1:17" x14ac:dyDescent="0.25">
      <c r="A5" s="1008" t="s">
        <v>79</v>
      </c>
      <c r="B5" s="1009">
        <v>66.923810898868823</v>
      </c>
      <c r="C5" s="1010">
        <v>68.131330152749101</v>
      </c>
      <c r="D5" s="1011">
        <v>54.500820141193145</v>
      </c>
      <c r="E5" s="1012">
        <v>53.914421487830445</v>
      </c>
    </row>
    <row r="6" spans="1:17" x14ac:dyDescent="0.25">
      <c r="A6" s="1013" t="s">
        <v>77</v>
      </c>
      <c r="B6" s="1014">
        <v>17.788852599734899</v>
      </c>
      <c r="C6" s="1015">
        <v>16.34835564336317</v>
      </c>
      <c r="D6" s="1016">
        <v>19.918417282688672</v>
      </c>
      <c r="E6" s="1017">
        <v>20.051640222199314</v>
      </c>
    </row>
    <row r="7" spans="1:17" ht="15.75" thickBot="1" x14ac:dyDescent="0.3">
      <c r="A7" s="1018" t="s">
        <v>78</v>
      </c>
      <c r="B7" s="1019">
        <v>11.04705811371705</v>
      </c>
      <c r="C7" s="1020">
        <v>8.6706701753866398</v>
      </c>
      <c r="D7" s="1021">
        <v>12.127910217969685</v>
      </c>
      <c r="E7" s="1022">
        <v>8.0526495916274179</v>
      </c>
    </row>
    <row r="8" spans="1:17" x14ac:dyDescent="0.25">
      <c r="A8" s="1475"/>
      <c r="B8" s="1476"/>
      <c r="C8" s="1476"/>
      <c r="D8" s="1476"/>
      <c r="E8" s="1477"/>
    </row>
    <row r="10" spans="1:17" x14ac:dyDescent="0.25">
      <c r="A10" s="1472"/>
      <c r="B10" s="1473"/>
      <c r="C10" s="1473"/>
      <c r="D10" s="1473"/>
      <c r="E10" s="1474"/>
    </row>
    <row r="11" spans="1:17" x14ac:dyDescent="0.25">
      <c r="A11" s="230"/>
      <c r="B11" s="231"/>
      <c r="C11" s="232"/>
      <c r="D11" s="232"/>
      <c r="E11" s="233"/>
    </row>
    <row r="12" spans="1:17" x14ac:dyDescent="0.25">
      <c r="A12" s="236"/>
      <c r="B12" s="224"/>
      <c r="C12" s="225"/>
      <c r="D12" s="226"/>
      <c r="E12" s="227"/>
    </row>
    <row r="13" spans="1:17" x14ac:dyDescent="0.25">
      <c r="A13" s="237"/>
      <c r="B13" s="200"/>
      <c r="C13" s="201"/>
      <c r="D13" s="202"/>
      <c r="E13" s="203"/>
    </row>
    <row r="14" spans="1:17" x14ac:dyDescent="0.25">
      <c r="A14" s="238"/>
      <c r="B14" s="204"/>
      <c r="C14" s="205"/>
      <c r="D14" s="206"/>
      <c r="E14" s="207"/>
    </row>
    <row r="15" spans="1:17" x14ac:dyDescent="0.25">
      <c r="A15" s="239"/>
      <c r="B15" s="208"/>
      <c r="C15" s="209"/>
      <c r="D15" s="210"/>
      <c r="E15" s="211"/>
    </row>
    <row r="16" spans="1:17" x14ac:dyDescent="0.25">
      <c r="A16" s="240"/>
      <c r="B16" s="228"/>
      <c r="C16" s="228"/>
      <c r="D16" s="228"/>
      <c r="E16" s="229"/>
    </row>
    <row r="17" spans="1:5" x14ac:dyDescent="0.25">
      <c r="A17" s="151"/>
      <c r="B17" s="151"/>
      <c r="C17" s="151"/>
      <c r="D17" s="151"/>
      <c r="E17" s="151"/>
    </row>
    <row r="18" spans="1:5" x14ac:dyDescent="0.25">
      <c r="A18" s="241"/>
      <c r="B18" s="234"/>
      <c r="C18" s="234"/>
      <c r="D18" s="234"/>
      <c r="E18" s="235"/>
    </row>
    <row r="19" spans="1:5" x14ac:dyDescent="0.25">
      <c r="A19" s="242"/>
      <c r="B19" s="231"/>
      <c r="C19" s="232"/>
      <c r="D19" s="232"/>
      <c r="E19" s="233"/>
    </row>
    <row r="20" spans="1:5" x14ac:dyDescent="0.25">
      <c r="A20" s="236"/>
      <c r="B20" s="224"/>
      <c r="C20" s="225"/>
      <c r="D20" s="226"/>
      <c r="E20" s="227"/>
    </row>
    <row r="21" spans="1:5" x14ac:dyDescent="0.25">
      <c r="A21" s="237"/>
      <c r="B21" s="212"/>
      <c r="C21" s="213"/>
      <c r="D21" s="214"/>
      <c r="E21" s="215"/>
    </row>
    <row r="22" spans="1:5" x14ac:dyDescent="0.25">
      <c r="A22" s="238"/>
      <c r="B22" s="216"/>
      <c r="C22" s="217"/>
      <c r="D22" s="218"/>
      <c r="E22" s="219"/>
    </row>
    <row r="23" spans="1:5" x14ac:dyDescent="0.25">
      <c r="A23" s="239"/>
      <c r="B23" s="220"/>
      <c r="C23" s="221"/>
      <c r="D23" s="222"/>
      <c r="E23" s="223"/>
    </row>
    <row r="24" spans="1:5" x14ac:dyDescent="0.25">
      <c r="A24" s="1475"/>
      <c r="B24" s="1476"/>
      <c r="C24" s="1476"/>
      <c r="D24" s="1476"/>
      <c r="E24" s="1477"/>
    </row>
  </sheetData>
  <mergeCells count="8">
    <mergeCell ref="H2:Q2"/>
    <mergeCell ref="A10:E10"/>
    <mergeCell ref="A24:E24"/>
    <mergeCell ref="A2:E2"/>
    <mergeCell ref="A3:A4"/>
    <mergeCell ref="B3:C3"/>
    <mergeCell ref="D3:E3"/>
    <mergeCell ref="A8:E8"/>
  </mergeCells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27"/>
  <sheetViews>
    <sheetView workbookViewId="0">
      <selection activeCell="G1" sqref="G1"/>
    </sheetView>
  </sheetViews>
  <sheetFormatPr defaultRowHeight="15" x14ac:dyDescent="0.25"/>
  <cols>
    <col min="1" max="1" width="18" customWidth="1"/>
    <col min="2" max="2" width="14.42578125" customWidth="1"/>
    <col min="3" max="3" width="12.140625" customWidth="1"/>
    <col min="4" max="4" width="13.7109375" customWidth="1"/>
    <col min="5" max="5" width="12.28515625" customWidth="1"/>
    <col min="6" max="6" width="10" customWidth="1"/>
  </cols>
  <sheetData>
    <row r="1" spans="1:15" ht="25.5" customHeight="1" x14ac:dyDescent="0.25"/>
    <row r="2" spans="1:15" ht="50.25" customHeight="1" thickBot="1" x14ac:dyDescent="0.3">
      <c r="A2" s="1490" t="s">
        <v>460</v>
      </c>
      <c r="B2" s="1491"/>
      <c r="C2" s="1491"/>
      <c r="D2" s="1491"/>
      <c r="E2" s="1492"/>
      <c r="G2" s="1229" t="s">
        <v>461</v>
      </c>
      <c r="H2" s="1229"/>
      <c r="I2" s="1229"/>
      <c r="J2" s="1229"/>
      <c r="K2" s="1229"/>
      <c r="L2" s="1229"/>
      <c r="M2" s="1229"/>
      <c r="N2" s="1229"/>
      <c r="O2" s="1229"/>
    </row>
    <row r="3" spans="1:15" x14ac:dyDescent="0.25">
      <c r="A3" s="1493"/>
      <c r="B3" s="1495" t="s">
        <v>59</v>
      </c>
      <c r="C3" s="1496"/>
      <c r="D3" s="1497" t="s">
        <v>60</v>
      </c>
      <c r="E3" s="1498"/>
    </row>
    <row r="4" spans="1:15" ht="15.75" thickBot="1" x14ac:dyDescent="0.3">
      <c r="A4" s="1494"/>
      <c r="B4" s="654" t="s">
        <v>12</v>
      </c>
      <c r="C4" s="655" t="s">
        <v>11</v>
      </c>
      <c r="D4" s="656" t="s">
        <v>12</v>
      </c>
      <c r="E4" s="657" t="s">
        <v>11</v>
      </c>
    </row>
    <row r="5" spans="1:15" ht="18" customHeight="1" x14ac:dyDescent="0.25">
      <c r="A5" s="658" t="s">
        <v>63</v>
      </c>
      <c r="B5" s="659">
        <v>78.522864682016404</v>
      </c>
      <c r="C5" s="660">
        <v>80.702471730856743</v>
      </c>
      <c r="D5" s="661">
        <v>70.778083984755384</v>
      </c>
      <c r="E5" s="662">
        <v>72.749794810525287</v>
      </c>
    </row>
    <row r="6" spans="1:15" ht="18" customHeight="1" x14ac:dyDescent="0.25">
      <c r="A6" s="663" t="s">
        <v>64</v>
      </c>
      <c r="B6" s="664">
        <v>5.4888791551768152</v>
      </c>
      <c r="C6" s="665">
        <v>4.3399669520257307</v>
      </c>
      <c r="D6" s="666">
        <v>2.2555666221275161</v>
      </c>
      <c r="E6" s="667">
        <v>1.1426584964738118</v>
      </c>
    </row>
    <row r="7" spans="1:15" ht="18" customHeight="1" x14ac:dyDescent="0.25">
      <c r="A7" s="663" t="s">
        <v>61</v>
      </c>
      <c r="B7" s="664">
        <v>3.8367682841181163</v>
      </c>
      <c r="C7" s="665">
        <v>3.9750440872117587</v>
      </c>
      <c r="D7" s="666">
        <v>3.0838894283823217</v>
      </c>
      <c r="E7" s="667">
        <v>1.3172555723922046</v>
      </c>
    </row>
    <row r="8" spans="1:15" ht="18" customHeight="1" thickBot="1" x14ac:dyDescent="0.3">
      <c r="A8" s="668" t="s">
        <v>62</v>
      </c>
      <c r="B8" s="669">
        <v>7.9112094910093331</v>
      </c>
      <c r="C8" s="670">
        <v>4.1328732014049185</v>
      </c>
      <c r="D8" s="671">
        <v>10.429607606586409</v>
      </c>
      <c r="E8" s="672">
        <v>6.8090024222658476</v>
      </c>
    </row>
    <row r="9" spans="1:15" x14ac:dyDescent="0.25">
      <c r="A9" s="1499"/>
      <c r="B9" s="1500"/>
      <c r="C9" s="1500"/>
      <c r="D9" s="1500"/>
      <c r="E9" s="1501"/>
    </row>
    <row r="11" spans="1:15" x14ac:dyDescent="0.25">
      <c r="A11" s="1487"/>
      <c r="B11" s="1488"/>
      <c r="C11" s="1488"/>
      <c r="D11" s="1488"/>
      <c r="E11" s="1489"/>
    </row>
    <row r="12" spans="1:15" x14ac:dyDescent="0.25">
      <c r="A12" s="255"/>
      <c r="B12" s="256"/>
      <c r="C12" s="257"/>
      <c r="D12" s="257"/>
      <c r="E12" s="258"/>
    </row>
    <row r="13" spans="1:15" x14ac:dyDescent="0.25">
      <c r="A13" s="268"/>
      <c r="B13" s="259"/>
      <c r="C13" s="260"/>
      <c r="D13" s="261"/>
      <c r="E13" s="262"/>
    </row>
    <row r="14" spans="1:15" x14ac:dyDescent="0.25">
      <c r="A14" s="269"/>
      <c r="B14" s="243"/>
      <c r="C14" s="244"/>
      <c r="D14" s="245"/>
      <c r="E14" s="246"/>
    </row>
    <row r="15" spans="1:15" x14ac:dyDescent="0.25">
      <c r="A15" s="270"/>
      <c r="B15" s="247"/>
      <c r="C15" s="248"/>
      <c r="D15" s="249"/>
      <c r="E15" s="250"/>
    </row>
    <row r="16" spans="1:15" x14ac:dyDescent="0.25">
      <c r="A16" s="270"/>
      <c r="B16" s="247"/>
      <c r="C16" s="248"/>
      <c r="D16" s="249"/>
      <c r="E16" s="250"/>
    </row>
    <row r="17" spans="1:5" x14ac:dyDescent="0.25">
      <c r="A17" s="271"/>
      <c r="B17" s="251"/>
      <c r="C17" s="252"/>
      <c r="D17" s="253"/>
      <c r="E17" s="254"/>
    </row>
    <row r="18" spans="1:5" x14ac:dyDescent="0.25">
      <c r="A18" s="272"/>
      <c r="B18" s="264"/>
      <c r="C18" s="264"/>
      <c r="D18" s="264"/>
      <c r="E18" s="265"/>
    </row>
    <row r="19" spans="1:5" x14ac:dyDescent="0.25">
      <c r="A19" s="151"/>
      <c r="B19" s="151"/>
      <c r="C19" s="151"/>
      <c r="D19" s="151"/>
      <c r="E19" s="151"/>
    </row>
    <row r="20" spans="1:5" x14ac:dyDescent="0.25">
      <c r="A20" s="273"/>
      <c r="B20" s="266"/>
      <c r="C20" s="266"/>
      <c r="D20" s="266"/>
      <c r="E20" s="267"/>
    </row>
    <row r="21" spans="1:5" x14ac:dyDescent="0.25">
      <c r="A21" s="274"/>
      <c r="B21" s="256"/>
      <c r="C21" s="257"/>
      <c r="D21" s="257"/>
      <c r="E21" s="258"/>
    </row>
    <row r="22" spans="1:5" x14ac:dyDescent="0.25">
      <c r="A22" s="268"/>
      <c r="B22" s="259"/>
      <c r="C22" s="260"/>
      <c r="D22" s="261"/>
      <c r="E22" s="262"/>
    </row>
    <row r="23" spans="1:5" x14ac:dyDescent="0.25">
      <c r="A23" s="269"/>
      <c r="B23" s="243"/>
      <c r="C23" s="244"/>
      <c r="D23" s="245"/>
      <c r="E23" s="246"/>
    </row>
    <row r="24" spans="1:5" x14ac:dyDescent="0.25">
      <c r="A24" s="270"/>
      <c r="B24" s="247"/>
      <c r="C24" s="248"/>
      <c r="D24" s="249"/>
      <c r="E24" s="250"/>
    </row>
    <row r="25" spans="1:5" x14ac:dyDescent="0.25">
      <c r="A25" s="270"/>
      <c r="B25" s="247"/>
      <c r="C25" s="248"/>
      <c r="D25" s="249"/>
      <c r="E25" s="250"/>
    </row>
    <row r="26" spans="1:5" x14ac:dyDescent="0.25">
      <c r="A26" s="271"/>
      <c r="B26" s="251"/>
      <c r="C26" s="252"/>
      <c r="D26" s="253"/>
      <c r="E26" s="254"/>
    </row>
    <row r="27" spans="1:5" x14ac:dyDescent="0.25">
      <c r="A27" s="263"/>
      <c r="B27" s="264"/>
      <c r="C27" s="264"/>
      <c r="D27" s="264"/>
      <c r="E27" s="265"/>
    </row>
  </sheetData>
  <mergeCells count="7">
    <mergeCell ref="G2:O2"/>
    <mergeCell ref="A11:E11"/>
    <mergeCell ref="A2:E2"/>
    <mergeCell ref="A3:A4"/>
    <mergeCell ref="B3:C3"/>
    <mergeCell ref="D3:E3"/>
    <mergeCell ref="A9:E9"/>
  </mergeCell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57"/>
  <sheetViews>
    <sheetView topLeftCell="G1" workbookViewId="0">
      <selection activeCell="H1" sqref="H1"/>
    </sheetView>
  </sheetViews>
  <sheetFormatPr defaultRowHeight="15" x14ac:dyDescent="0.25"/>
  <cols>
    <col min="1" max="1" width="7.140625" customWidth="1"/>
    <col min="2" max="6" width="13.5703125" customWidth="1"/>
    <col min="9" max="10" width="14.28515625" customWidth="1"/>
  </cols>
  <sheetData>
    <row r="1" spans="1:20" ht="21.75" customHeight="1" x14ac:dyDescent="0.25"/>
    <row r="2" spans="1:20" ht="29.25" customHeight="1" x14ac:dyDescent="0.25">
      <c r="A2" s="1502" t="s">
        <v>456</v>
      </c>
      <c r="B2" s="1502"/>
      <c r="C2" s="1502"/>
      <c r="D2" s="1502"/>
      <c r="E2" s="1502"/>
      <c r="F2" s="1502"/>
      <c r="G2" s="405"/>
      <c r="H2" s="1503" t="s">
        <v>457</v>
      </c>
      <c r="I2" s="1504"/>
      <c r="J2" s="1504"/>
      <c r="K2" s="1504"/>
      <c r="L2" s="1504"/>
      <c r="M2" s="1504"/>
      <c r="N2" s="1504"/>
      <c r="O2" s="1504"/>
      <c r="P2" s="1504"/>
      <c r="Q2" s="1504"/>
      <c r="R2" s="1504"/>
      <c r="S2" s="1504"/>
      <c r="T2" s="1504"/>
    </row>
    <row r="3" spans="1:20" ht="15" customHeight="1" x14ac:dyDescent="0.25">
      <c r="A3" s="406"/>
      <c r="B3" s="406"/>
      <c r="C3" s="406"/>
      <c r="D3" s="406"/>
      <c r="E3" s="406"/>
      <c r="F3" s="406"/>
      <c r="G3" s="405"/>
      <c r="H3" s="405"/>
      <c r="I3" s="405"/>
      <c r="J3" s="405"/>
    </row>
    <row r="4" spans="1:20" ht="21" customHeight="1" x14ac:dyDescent="0.25">
      <c r="B4" s="283"/>
      <c r="C4" s="284" t="s">
        <v>11</v>
      </c>
      <c r="D4" s="285" t="s">
        <v>12</v>
      </c>
    </row>
    <row r="5" spans="1:20" ht="17.100000000000001" customHeight="1" x14ac:dyDescent="0.25">
      <c r="B5" s="275" t="s">
        <v>0</v>
      </c>
      <c r="C5" s="286">
        <v>4.8286594166770959E-4</v>
      </c>
      <c r="D5" s="287">
        <v>5.5491359840704134E-4</v>
      </c>
    </row>
    <row r="6" spans="1:20" ht="17.100000000000001" customHeight="1" x14ac:dyDescent="0.25">
      <c r="B6" s="276" t="s">
        <v>14</v>
      </c>
      <c r="C6" s="288">
        <v>1.0162919871836977E-3</v>
      </c>
      <c r="D6" s="289">
        <v>9.8558148466857602E-4</v>
      </c>
    </row>
    <row r="7" spans="1:20" ht="17.100000000000001" customHeight="1" x14ac:dyDescent="0.25">
      <c r="B7" s="276" t="s">
        <v>15</v>
      </c>
      <c r="C7" s="288">
        <v>3.9857324620635017E-3</v>
      </c>
      <c r="D7" s="289">
        <v>3.5634904419014311E-3</v>
      </c>
    </row>
    <row r="8" spans="1:20" ht="17.100000000000001" customHeight="1" x14ac:dyDescent="0.25">
      <c r="B8" s="276" t="s">
        <v>16</v>
      </c>
      <c r="C8" s="288">
        <v>1.0450864019948859E-2</v>
      </c>
      <c r="D8" s="289">
        <v>1.3709159104274251E-2</v>
      </c>
    </row>
    <row r="9" spans="1:20" ht="17.100000000000001" customHeight="1" x14ac:dyDescent="0.25">
      <c r="B9" s="276" t="s">
        <v>17</v>
      </c>
      <c r="C9" s="288">
        <v>1.1297722549023049E-2</v>
      </c>
      <c r="D9" s="289">
        <v>1.5249689814592229E-2</v>
      </c>
    </row>
    <row r="10" spans="1:20" ht="17.100000000000001" customHeight="1" x14ac:dyDescent="0.25">
      <c r="B10" s="276" t="s">
        <v>18</v>
      </c>
      <c r="C10" s="288">
        <v>3.8094682931052427E-2</v>
      </c>
      <c r="D10" s="289">
        <v>3.8253268379379972E-2</v>
      </c>
    </row>
    <row r="11" spans="1:20" ht="17.100000000000001" customHeight="1" x14ac:dyDescent="0.25">
      <c r="B11" s="276" t="s">
        <v>56</v>
      </c>
      <c r="C11" s="288">
        <v>3.9657533683887421E-2</v>
      </c>
      <c r="D11" s="289">
        <v>3.5835301355143977E-2</v>
      </c>
    </row>
    <row r="12" spans="1:20" ht="17.100000000000001" customHeight="1" x14ac:dyDescent="0.25">
      <c r="B12" s="276" t="s">
        <v>57</v>
      </c>
      <c r="C12" s="288">
        <v>8.7562810214273409E-2</v>
      </c>
      <c r="D12" s="289">
        <v>7.7833971352802331E-2</v>
      </c>
    </row>
    <row r="13" spans="1:20" ht="17.100000000000001" customHeight="1" x14ac:dyDescent="0.25">
      <c r="B13" s="276" t="s">
        <v>1</v>
      </c>
      <c r="C13" s="288">
        <v>6.9675576464386754E-2</v>
      </c>
      <c r="D13" s="289">
        <v>6.0654722613247537E-2</v>
      </c>
    </row>
    <row r="14" spans="1:20" ht="17.100000000000001" customHeight="1" x14ac:dyDescent="0.25">
      <c r="B14" s="276" t="s">
        <v>21</v>
      </c>
      <c r="C14" s="288">
        <v>8.5348149974628335E-2</v>
      </c>
      <c r="D14" s="289">
        <v>6.3370861786864519E-2</v>
      </c>
    </row>
    <row r="15" spans="1:20" ht="17.100000000000001" customHeight="1" x14ac:dyDescent="0.25">
      <c r="B15" s="276" t="s">
        <v>22</v>
      </c>
      <c r="C15" s="288">
        <v>5.631130994302639E-2</v>
      </c>
      <c r="D15" s="289">
        <v>4.2239987091842582E-2</v>
      </c>
    </row>
    <row r="16" spans="1:20" ht="17.100000000000001" customHeight="1" x14ac:dyDescent="0.25">
      <c r="B16" s="276" t="s">
        <v>58</v>
      </c>
      <c r="C16" s="288">
        <v>5.4040249146800584E-2</v>
      </c>
      <c r="D16" s="289">
        <v>3.8777647376218909E-2</v>
      </c>
    </row>
    <row r="17" spans="2:4" ht="17.100000000000001" customHeight="1" x14ac:dyDescent="0.25">
      <c r="B17" s="276" t="s">
        <v>24</v>
      </c>
      <c r="C17" s="288">
        <v>4.5592716192689273E-2</v>
      </c>
      <c r="D17" s="289">
        <v>4.7598855277485731E-2</v>
      </c>
    </row>
    <row r="18" spans="2:4" ht="17.100000000000001" customHeight="1" x14ac:dyDescent="0.25">
      <c r="B18" s="276" t="s">
        <v>25</v>
      </c>
      <c r="C18" s="288">
        <v>4.3025097202772471E-2</v>
      </c>
      <c r="D18" s="289">
        <v>3.6374795262258196E-2</v>
      </c>
    </row>
    <row r="19" spans="2:4" ht="17.100000000000001" customHeight="1" x14ac:dyDescent="0.25">
      <c r="B19" s="276" t="s">
        <v>27</v>
      </c>
      <c r="C19" s="288">
        <v>4.1365273506340561E-2</v>
      </c>
      <c r="D19" s="289">
        <v>3.5386619891876532E-2</v>
      </c>
    </row>
    <row r="20" spans="2:4" ht="17.100000000000001" customHeight="1" x14ac:dyDescent="0.25">
      <c r="B20" s="276" t="s">
        <v>26</v>
      </c>
      <c r="C20" s="288">
        <v>2.9803700112822025E-2</v>
      </c>
      <c r="D20" s="289">
        <v>2.863304706021412E-2</v>
      </c>
    </row>
    <row r="21" spans="2:4" ht="17.100000000000001" customHeight="1" x14ac:dyDescent="0.25">
      <c r="B21" s="276" t="s">
        <v>2</v>
      </c>
      <c r="C21" s="288">
        <v>4.4979230847698268E-2</v>
      </c>
      <c r="D21" s="289">
        <v>3.93882705285096E-2</v>
      </c>
    </row>
    <row r="22" spans="2:4" ht="17.100000000000001" customHeight="1" x14ac:dyDescent="0.25">
      <c r="B22" s="276" t="s">
        <v>28</v>
      </c>
      <c r="C22" s="288">
        <v>3.3760299448379334E-2</v>
      </c>
      <c r="D22" s="289">
        <v>2.5028990708709807E-2</v>
      </c>
    </row>
    <row r="23" spans="2:4" ht="17.100000000000001" customHeight="1" x14ac:dyDescent="0.25">
      <c r="B23" s="276" t="s">
        <v>29</v>
      </c>
      <c r="C23" s="288">
        <v>3.2467300951285499E-2</v>
      </c>
      <c r="D23" s="289">
        <v>4.6696019104418222E-2</v>
      </c>
    </row>
    <row r="24" spans="2:4" ht="17.100000000000001" customHeight="1" x14ac:dyDescent="0.25">
      <c r="B24" s="276" t="s">
        <v>30</v>
      </c>
      <c r="C24" s="288">
        <v>2.2756176027827476E-2</v>
      </c>
      <c r="D24" s="289">
        <v>2.8524868712948084E-2</v>
      </c>
    </row>
    <row r="25" spans="2:4" ht="17.100000000000001" customHeight="1" x14ac:dyDescent="0.25">
      <c r="B25" s="276" t="s">
        <v>31</v>
      </c>
      <c r="C25" s="288">
        <v>1.5387940615342906E-2</v>
      </c>
      <c r="D25" s="289">
        <v>1.840289882278855E-2</v>
      </c>
    </row>
    <row r="26" spans="2:4" ht="17.100000000000001" customHeight="1" x14ac:dyDescent="0.25">
      <c r="B26" s="276" t="s">
        <v>32</v>
      </c>
      <c r="C26" s="288">
        <v>1.6520677407532061E-2</v>
      </c>
      <c r="D26" s="289">
        <v>1.7681939814095587E-2</v>
      </c>
    </row>
    <row r="27" spans="2:4" ht="17.100000000000001" customHeight="1" x14ac:dyDescent="0.25">
      <c r="B27" s="276" t="s">
        <v>33</v>
      </c>
      <c r="C27" s="288">
        <v>2.2256466822916668E-2</v>
      </c>
      <c r="D27" s="289">
        <v>1.9232343744069475E-2</v>
      </c>
    </row>
    <row r="28" spans="2:4" ht="17.100000000000001" customHeight="1" x14ac:dyDescent="0.25">
      <c r="B28" s="276" t="s">
        <v>34</v>
      </c>
      <c r="C28" s="288">
        <v>2.6715866374130995E-2</v>
      </c>
      <c r="D28" s="289">
        <v>2.1268045890123325E-2</v>
      </c>
    </row>
    <row r="29" spans="2:4" ht="17.100000000000001" customHeight="1" x14ac:dyDescent="0.25">
      <c r="B29" s="276" t="s">
        <v>3</v>
      </c>
      <c r="C29" s="288">
        <v>3.934576973195008E-2</v>
      </c>
      <c r="D29" s="289">
        <v>3.1716234896019546E-2</v>
      </c>
    </row>
    <row r="30" spans="2:4" ht="17.100000000000001" customHeight="1" x14ac:dyDescent="0.25">
      <c r="B30" s="276" t="s">
        <v>35</v>
      </c>
      <c r="C30" s="288">
        <v>4.6270594823981576E-2</v>
      </c>
      <c r="D30" s="289">
        <v>4.4950074208539616E-2</v>
      </c>
    </row>
    <row r="31" spans="2:4" ht="17.100000000000001" customHeight="1" x14ac:dyDescent="0.25">
      <c r="B31" s="276" t="s">
        <v>36</v>
      </c>
      <c r="C31" s="288">
        <v>6.4209248703568908E-2</v>
      </c>
      <c r="D31" s="289">
        <v>5.5000647755519966E-2</v>
      </c>
    </row>
    <row r="32" spans="2:4" ht="17.100000000000001" customHeight="1" x14ac:dyDescent="0.25">
      <c r="B32" s="276" t="s">
        <v>37</v>
      </c>
      <c r="C32" s="288">
        <v>7.797397081738898E-2</v>
      </c>
      <c r="D32" s="289">
        <v>5.8890471557723388E-2</v>
      </c>
    </row>
    <row r="33" spans="2:4" ht="17.100000000000001" customHeight="1" x14ac:dyDescent="0.25">
      <c r="B33" s="276" t="s">
        <v>38</v>
      </c>
      <c r="C33" s="288">
        <v>5.3376640974079174E-2</v>
      </c>
      <c r="D33" s="289">
        <v>4.8534800780169828E-2</v>
      </c>
    </row>
    <row r="34" spans="2:4" ht="17.100000000000001" customHeight="1" x14ac:dyDescent="0.25">
      <c r="B34" s="276" t="s">
        <v>39</v>
      </c>
      <c r="C34" s="288">
        <v>5.2504984179574096E-2</v>
      </c>
      <c r="D34" s="289">
        <v>4.04329057474637E-2</v>
      </c>
    </row>
    <row r="35" spans="2:4" ht="17.100000000000001" customHeight="1" x14ac:dyDescent="0.25">
      <c r="B35" s="276" t="s">
        <v>40</v>
      </c>
      <c r="C35" s="288">
        <v>2.4403923526610062E-2</v>
      </c>
      <c r="D35" s="289">
        <v>1.4334681216982987E-2</v>
      </c>
    </row>
    <row r="36" spans="2:4" ht="17.100000000000001" customHeight="1" x14ac:dyDescent="0.25">
      <c r="B36" s="276" t="s">
        <v>41</v>
      </c>
      <c r="C36" s="288">
        <v>1.7622663700476767E-2</v>
      </c>
      <c r="D36" s="289">
        <v>1.1769592050711231E-2</v>
      </c>
    </row>
    <row r="37" spans="2:4" ht="17.100000000000001" customHeight="1" x14ac:dyDescent="0.25">
      <c r="B37" s="276" t="s">
        <v>4</v>
      </c>
      <c r="C37" s="288">
        <v>8.7687135258174356E-3</v>
      </c>
      <c r="D37" s="289">
        <v>1.3216097526643846E-2</v>
      </c>
    </row>
    <row r="38" spans="2:4" ht="17.100000000000001" customHeight="1" x14ac:dyDescent="0.25">
      <c r="B38" s="276" t="s">
        <v>43</v>
      </c>
      <c r="C38" s="288">
        <v>6.9454016051376391E-3</v>
      </c>
      <c r="D38" s="289">
        <v>8.6912180615760365E-3</v>
      </c>
    </row>
    <row r="39" spans="2:4" ht="17.100000000000001" customHeight="1" x14ac:dyDescent="0.25">
      <c r="B39" s="276" t="s">
        <v>42</v>
      </c>
      <c r="C39" s="288">
        <v>1.4242320038349863E-3</v>
      </c>
      <c r="D39" s="289">
        <v>5.2764738323948304E-3</v>
      </c>
    </row>
    <row r="40" spans="2:4" ht="17.100000000000001" customHeight="1" x14ac:dyDescent="0.25">
      <c r="B40" s="276" t="s">
        <v>44</v>
      </c>
      <c r="C40" s="288">
        <v>1.8413811013396608E-3</v>
      </c>
      <c r="D40" s="289">
        <v>5.6767719359297154E-3</v>
      </c>
    </row>
    <row r="41" spans="2:4" ht="17.100000000000001" customHeight="1" x14ac:dyDescent="0.25">
      <c r="B41" s="276" t="s">
        <v>45</v>
      </c>
      <c r="C41" s="288">
        <v>1.7171816068104922E-3</v>
      </c>
      <c r="D41" s="289">
        <v>4.0414688962375316E-3</v>
      </c>
    </row>
    <row r="42" spans="2:4" ht="17.100000000000001" customHeight="1" x14ac:dyDescent="0.25">
      <c r="B42" s="276" t="s">
        <v>46</v>
      </c>
      <c r="C42" s="288">
        <v>1.5521394596602909E-3</v>
      </c>
      <c r="D42" s="289">
        <v>2.3247635288540579E-3</v>
      </c>
    </row>
    <row r="43" spans="2:4" ht="17.100000000000001" customHeight="1" x14ac:dyDescent="0.25">
      <c r="B43" s="276" t="s">
        <v>47</v>
      </c>
      <c r="C43" s="288">
        <v>6.3309179867485684E-4</v>
      </c>
      <c r="D43" s="289">
        <v>9.6296035120815306E-4</v>
      </c>
    </row>
    <row r="44" spans="2:4" ht="17.100000000000001" customHeight="1" x14ac:dyDescent="0.25">
      <c r="B44" s="276" t="s">
        <v>48</v>
      </c>
      <c r="C44" s="288">
        <v>6.235269699046785E-4</v>
      </c>
      <c r="D44" s="289">
        <v>9.2988609595202141E-5</v>
      </c>
    </row>
    <row r="45" spans="2:4" ht="17.100000000000001" customHeight="1" x14ac:dyDescent="0.25">
      <c r="B45" s="276" t="s">
        <v>5</v>
      </c>
      <c r="C45" s="288">
        <v>2.887226652723487E-4</v>
      </c>
      <c r="D45" s="289">
        <v>0</v>
      </c>
    </row>
    <row r="46" spans="2:4" ht="17.100000000000001" customHeight="1" x14ac:dyDescent="0.25">
      <c r="B46" s="276" t="s">
        <v>49</v>
      </c>
      <c r="C46" s="288">
        <v>0</v>
      </c>
      <c r="D46" s="289">
        <v>0</v>
      </c>
    </row>
    <row r="47" spans="2:4" ht="17.100000000000001" customHeight="1" x14ac:dyDescent="0.25">
      <c r="B47" s="276" t="s">
        <v>50</v>
      </c>
      <c r="C47" s="288">
        <v>0</v>
      </c>
      <c r="D47" s="289">
        <v>9.2988609595202141E-5</v>
      </c>
    </row>
    <row r="48" spans="2:4" ht="17.100000000000001" customHeight="1" x14ac:dyDescent="0.25">
      <c r="B48" s="276" t="s">
        <v>51</v>
      </c>
      <c r="C48" s="288">
        <v>0</v>
      </c>
      <c r="D48" s="289">
        <v>0</v>
      </c>
    </row>
    <row r="49" spans="2:4" ht="17.100000000000001" customHeight="1" x14ac:dyDescent="0.25">
      <c r="B49" s="276" t="s">
        <v>52</v>
      </c>
      <c r="C49" s="288">
        <v>0</v>
      </c>
      <c r="D49" s="289">
        <v>2.3280556167049358E-4</v>
      </c>
    </row>
    <row r="50" spans="2:4" ht="17.100000000000001" customHeight="1" x14ac:dyDescent="0.25">
      <c r="B50" s="276" t="s">
        <v>53</v>
      </c>
      <c r="C50" s="288">
        <v>0</v>
      </c>
      <c r="D50" s="289">
        <v>2.7174561549722268E-4</v>
      </c>
    </row>
    <row r="51" spans="2:4" ht="17.100000000000001" customHeight="1" x14ac:dyDescent="0.25">
      <c r="B51" s="276" t="s">
        <v>54</v>
      </c>
      <c r="C51" s="288">
        <v>1.6472269767132082E-4</v>
      </c>
      <c r="D51" s="289">
        <v>4.1104277576607391E-4</v>
      </c>
    </row>
    <row r="52" spans="2:4" ht="17.100000000000001" customHeight="1" x14ac:dyDescent="0.25">
      <c r="B52" s="277" t="s">
        <v>6</v>
      </c>
      <c r="C52" s="290">
        <v>1.6472269767132082E-4</v>
      </c>
      <c r="D52" s="291">
        <v>0</v>
      </c>
    </row>
    <row r="54" spans="2:4" ht="36" customHeight="1" x14ac:dyDescent="0.25"/>
    <row r="55" spans="2:4" ht="15.95" customHeight="1" x14ac:dyDescent="0.25"/>
    <row r="56" spans="2:4" ht="29.1" customHeight="1" x14ac:dyDescent="0.25"/>
    <row r="57" spans="2:4" ht="17.100000000000001" customHeight="1" x14ac:dyDescent="0.25"/>
    <row r="58" spans="2:4" ht="17.100000000000001" customHeight="1" x14ac:dyDescent="0.25"/>
    <row r="59" spans="2:4" ht="17.100000000000001" customHeight="1" x14ac:dyDescent="0.25"/>
    <row r="60" spans="2:4" ht="17.100000000000001" customHeight="1" x14ac:dyDescent="0.25"/>
    <row r="61" spans="2:4" ht="17.100000000000001" customHeight="1" x14ac:dyDescent="0.25"/>
    <row r="62" spans="2:4" ht="17.100000000000001" customHeight="1" x14ac:dyDescent="0.25"/>
    <row r="63" spans="2:4" ht="17.100000000000001" customHeight="1" x14ac:dyDescent="0.25"/>
    <row r="64" spans="2:4" ht="17.100000000000001" customHeight="1" x14ac:dyDescent="0.25"/>
    <row r="65" ht="17.100000000000001" customHeight="1" x14ac:dyDescent="0.25"/>
    <row r="66" ht="17.100000000000001" customHeight="1" x14ac:dyDescent="0.25"/>
    <row r="67" ht="17.100000000000001" customHeight="1" x14ac:dyDescent="0.25"/>
    <row r="68" ht="17.100000000000001" customHeight="1" x14ac:dyDescent="0.25"/>
    <row r="69" ht="17.100000000000001" customHeight="1" x14ac:dyDescent="0.25"/>
    <row r="70" ht="17.100000000000001" customHeight="1" x14ac:dyDescent="0.25"/>
    <row r="71" ht="17.100000000000001" customHeight="1" x14ac:dyDescent="0.25"/>
    <row r="72" ht="17.100000000000001" customHeight="1" x14ac:dyDescent="0.25"/>
    <row r="73" ht="17.100000000000001" customHeight="1" x14ac:dyDescent="0.25"/>
    <row r="74" ht="17.100000000000001" customHeight="1" x14ac:dyDescent="0.25"/>
    <row r="75" ht="17.100000000000001" customHeight="1" x14ac:dyDescent="0.25"/>
    <row r="76" ht="17.100000000000001" customHeight="1" x14ac:dyDescent="0.25"/>
    <row r="77" ht="17.100000000000001" customHeight="1" x14ac:dyDescent="0.25"/>
    <row r="78" ht="17.100000000000001" customHeight="1" x14ac:dyDescent="0.25"/>
    <row r="79" ht="17.100000000000001" customHeight="1" x14ac:dyDescent="0.25"/>
    <row r="80" ht="17.100000000000001" customHeight="1" x14ac:dyDescent="0.25"/>
    <row r="81" ht="17.100000000000001" customHeight="1" x14ac:dyDescent="0.25"/>
    <row r="82" ht="17.100000000000001" customHeight="1" x14ac:dyDescent="0.25"/>
    <row r="83" ht="17.100000000000001" customHeight="1" x14ac:dyDescent="0.25"/>
    <row r="84" ht="17.100000000000001" customHeight="1" x14ac:dyDescent="0.25"/>
    <row r="85" ht="17.100000000000001" customHeight="1" x14ac:dyDescent="0.25"/>
    <row r="86" ht="17.100000000000001" customHeight="1" x14ac:dyDescent="0.25"/>
    <row r="87" ht="17.100000000000001" customHeight="1" x14ac:dyDescent="0.25"/>
    <row r="88" ht="17.100000000000001" customHeight="1" x14ac:dyDescent="0.25"/>
    <row r="89" ht="17.100000000000001" customHeight="1" x14ac:dyDescent="0.25"/>
    <row r="90" ht="17.100000000000001" customHeight="1" x14ac:dyDescent="0.25"/>
    <row r="91" ht="17.100000000000001" customHeight="1" x14ac:dyDescent="0.25"/>
    <row r="92" ht="17.100000000000001" customHeight="1" x14ac:dyDescent="0.25"/>
    <row r="93" ht="17.100000000000001" customHeight="1" x14ac:dyDescent="0.25"/>
    <row r="94" ht="17.100000000000001" customHeight="1" x14ac:dyDescent="0.25"/>
    <row r="95" ht="17.100000000000001" customHeight="1" x14ac:dyDescent="0.25"/>
    <row r="96" ht="17.100000000000001" customHeight="1" x14ac:dyDescent="0.25"/>
    <row r="97" ht="17.100000000000001" customHeight="1" x14ac:dyDescent="0.25"/>
    <row r="98" ht="17.100000000000001" customHeight="1" x14ac:dyDescent="0.25"/>
    <row r="99" ht="17.100000000000001" customHeight="1" x14ac:dyDescent="0.25"/>
    <row r="100" ht="17.100000000000001" customHeight="1" x14ac:dyDescent="0.25"/>
    <row r="101" ht="17.100000000000001" customHeight="1" x14ac:dyDescent="0.25"/>
    <row r="102" ht="17.100000000000001" customHeight="1" x14ac:dyDescent="0.25"/>
    <row r="103" ht="17.100000000000001" customHeight="1" x14ac:dyDescent="0.25"/>
    <row r="104" ht="17.100000000000001" customHeight="1" x14ac:dyDescent="0.25"/>
    <row r="106" ht="36" customHeight="1" x14ac:dyDescent="0.25"/>
    <row r="107" ht="15.95" customHeight="1" x14ac:dyDescent="0.25"/>
    <row r="108" ht="29.1" customHeight="1" x14ac:dyDescent="0.25"/>
    <row r="109" ht="15.95" customHeight="1" x14ac:dyDescent="0.25"/>
    <row r="110" ht="17.100000000000001" customHeight="1" x14ac:dyDescent="0.25"/>
    <row r="111" ht="17.100000000000001" customHeight="1" x14ac:dyDescent="0.25"/>
    <row r="112" ht="17.100000000000001" customHeight="1" x14ac:dyDescent="0.25"/>
    <row r="113" ht="17.100000000000001" customHeight="1" x14ac:dyDescent="0.25"/>
    <row r="114" ht="17.100000000000001" customHeight="1" x14ac:dyDescent="0.25"/>
    <row r="115" ht="17.100000000000001" customHeight="1" x14ac:dyDescent="0.25"/>
    <row r="116" ht="17.100000000000001" customHeight="1" x14ac:dyDescent="0.25"/>
    <row r="117" ht="17.100000000000001" customHeight="1" x14ac:dyDescent="0.25"/>
    <row r="118" ht="17.100000000000001" customHeight="1" x14ac:dyDescent="0.25"/>
    <row r="119" ht="17.100000000000001" customHeight="1" x14ac:dyDescent="0.25"/>
    <row r="120" ht="17.100000000000001" customHeight="1" x14ac:dyDescent="0.25"/>
    <row r="121" ht="17.100000000000001" customHeight="1" x14ac:dyDescent="0.25"/>
    <row r="122" ht="17.100000000000001" customHeight="1" x14ac:dyDescent="0.25"/>
    <row r="123" ht="17.100000000000001" customHeight="1" x14ac:dyDescent="0.25"/>
    <row r="124" ht="17.100000000000001" customHeight="1" x14ac:dyDescent="0.25"/>
    <row r="125" ht="17.100000000000001" customHeight="1" x14ac:dyDescent="0.25"/>
    <row r="126" ht="17.100000000000001" customHeight="1" x14ac:dyDescent="0.25"/>
    <row r="127" ht="17.100000000000001" customHeight="1" x14ac:dyDescent="0.25"/>
    <row r="128" ht="17.100000000000001" customHeight="1" x14ac:dyDescent="0.25"/>
    <row r="129" ht="17.100000000000001" customHeight="1" x14ac:dyDescent="0.25"/>
    <row r="130" ht="17.100000000000001" customHeight="1" x14ac:dyDescent="0.25"/>
    <row r="131" ht="17.100000000000001" customHeight="1" x14ac:dyDescent="0.25"/>
    <row r="132" ht="17.100000000000001" customHeight="1" x14ac:dyDescent="0.25"/>
    <row r="133" ht="17.100000000000001" customHeight="1" x14ac:dyDescent="0.25"/>
    <row r="134" ht="17.100000000000001" customHeight="1" x14ac:dyDescent="0.25"/>
    <row r="135" ht="17.100000000000001" customHeight="1" x14ac:dyDescent="0.25"/>
    <row r="136" ht="17.100000000000001" customHeight="1" x14ac:dyDescent="0.25"/>
    <row r="137" ht="17.100000000000001" customHeight="1" x14ac:dyDescent="0.25"/>
    <row r="138" ht="17.100000000000001" customHeight="1" x14ac:dyDescent="0.25"/>
    <row r="139" ht="17.100000000000001" customHeight="1" x14ac:dyDescent="0.25"/>
    <row r="140" ht="17.100000000000001" customHeight="1" x14ac:dyDescent="0.25"/>
    <row r="141" ht="17.100000000000001" customHeight="1" x14ac:dyDescent="0.25"/>
    <row r="142" ht="17.100000000000001" customHeight="1" x14ac:dyDescent="0.25"/>
    <row r="143" ht="17.100000000000001" customHeight="1" x14ac:dyDescent="0.25"/>
    <row r="144" ht="17.100000000000001" customHeight="1" x14ac:dyDescent="0.25"/>
    <row r="145" ht="17.100000000000001" customHeight="1" x14ac:dyDescent="0.25"/>
    <row r="146" ht="17.100000000000001" customHeight="1" x14ac:dyDescent="0.25"/>
    <row r="147" ht="17.100000000000001" customHeight="1" x14ac:dyDescent="0.25"/>
    <row r="148" ht="17.100000000000001" customHeight="1" x14ac:dyDescent="0.25"/>
    <row r="149" ht="17.100000000000001" customHeight="1" x14ac:dyDescent="0.25"/>
    <row r="150" ht="17.100000000000001" customHeight="1" x14ac:dyDescent="0.25"/>
    <row r="151" ht="17.100000000000001" customHeight="1" x14ac:dyDescent="0.25"/>
    <row r="152" ht="17.100000000000001" customHeight="1" x14ac:dyDescent="0.25"/>
    <row r="153" ht="17.100000000000001" customHeight="1" x14ac:dyDescent="0.25"/>
    <row r="154" ht="17.100000000000001" customHeight="1" x14ac:dyDescent="0.25"/>
    <row r="155" ht="17.100000000000001" customHeight="1" x14ac:dyDescent="0.25"/>
    <row r="156" ht="17.100000000000001" customHeight="1" x14ac:dyDescent="0.25"/>
    <row r="157" ht="17.100000000000001" customHeight="1" x14ac:dyDescent="0.25"/>
  </sheetData>
  <mergeCells count="2">
    <mergeCell ref="A2:F2"/>
    <mergeCell ref="H2:T2"/>
  </mergeCell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3"/>
  <sheetViews>
    <sheetView workbookViewId="0">
      <selection activeCell="I1" sqref="I1"/>
    </sheetView>
  </sheetViews>
  <sheetFormatPr defaultRowHeight="15" x14ac:dyDescent="0.25"/>
  <cols>
    <col min="1" max="1" width="12" customWidth="1"/>
    <col min="2" max="2" width="14" customWidth="1"/>
    <col min="3" max="3" width="12" customWidth="1"/>
    <col min="4" max="4" width="11.28515625" customWidth="1"/>
  </cols>
  <sheetData>
    <row r="1" spans="1:16" ht="24.75" customHeight="1" x14ac:dyDescent="0.25"/>
    <row r="2" spans="1:16" ht="51.75" customHeight="1" thickBot="1" x14ac:dyDescent="0.3">
      <c r="A2" s="1449" t="s">
        <v>454</v>
      </c>
      <c r="B2" s="1449"/>
      <c r="C2" s="1449"/>
      <c r="D2" s="1449"/>
      <c r="E2" s="1449"/>
      <c r="F2" s="1449"/>
      <c r="G2" s="1449"/>
      <c r="I2" s="1229" t="s">
        <v>455</v>
      </c>
      <c r="J2" s="1229"/>
      <c r="K2" s="1229"/>
      <c r="L2" s="1229"/>
      <c r="M2" s="1229"/>
      <c r="N2" s="1229"/>
      <c r="O2" s="1229"/>
      <c r="P2" s="1229"/>
    </row>
    <row r="3" spans="1:16" ht="40.5" customHeight="1" thickBot="1" x14ac:dyDescent="0.3">
      <c r="A3" s="1062"/>
      <c r="B3" s="1063"/>
      <c r="C3" s="1072" t="s">
        <v>453</v>
      </c>
      <c r="D3" s="154"/>
      <c r="E3" s="154"/>
      <c r="F3" s="154"/>
      <c r="G3" s="154"/>
      <c r="H3" s="154"/>
    </row>
    <row r="4" spans="1:16" ht="21" customHeight="1" x14ac:dyDescent="0.25">
      <c r="A4" s="1067" t="s">
        <v>11</v>
      </c>
      <c r="B4" s="1068" t="s">
        <v>60</v>
      </c>
      <c r="C4" s="1073">
        <v>5.1348019425567788</v>
      </c>
      <c r="D4" s="154"/>
    </row>
    <row r="5" spans="1:16" ht="21" customHeight="1" x14ac:dyDescent="0.25">
      <c r="A5" s="1064" t="s">
        <v>11</v>
      </c>
      <c r="B5" s="1069" t="s">
        <v>59</v>
      </c>
      <c r="C5" s="1074">
        <v>6.2452082892573921</v>
      </c>
      <c r="D5" s="154"/>
    </row>
    <row r="6" spans="1:16" ht="21" customHeight="1" x14ac:dyDescent="0.25">
      <c r="A6" s="1065" t="s">
        <v>12</v>
      </c>
      <c r="B6" s="1070" t="s">
        <v>60</v>
      </c>
      <c r="C6" s="1074">
        <v>5.7141581341999625</v>
      </c>
      <c r="D6" s="154"/>
    </row>
    <row r="7" spans="1:16" ht="21" customHeight="1" thickBot="1" x14ac:dyDescent="0.3">
      <c r="A7" s="1066" t="s">
        <v>12</v>
      </c>
      <c r="B7" s="1071" t="s">
        <v>59</v>
      </c>
      <c r="C7" s="1075">
        <v>7.3838412293408577</v>
      </c>
      <c r="D7" s="154"/>
      <c r="E7" s="154"/>
      <c r="F7" s="154"/>
      <c r="G7" s="154"/>
      <c r="H7" s="154"/>
    </row>
    <row r="10" spans="1:16" ht="15.75" thickBot="1" x14ac:dyDescent="0.3"/>
    <row r="11" spans="1:16" x14ac:dyDescent="0.25">
      <c r="A11" s="1505" t="s">
        <v>60</v>
      </c>
      <c r="B11" s="1506"/>
      <c r="C11" s="1507" t="s">
        <v>59</v>
      </c>
      <c r="D11" s="1508"/>
    </row>
    <row r="12" spans="1:16" ht="15.75" thickBot="1" x14ac:dyDescent="0.3">
      <c r="A12" s="676" t="s">
        <v>11</v>
      </c>
      <c r="B12" s="677" t="s">
        <v>12</v>
      </c>
      <c r="C12" s="678" t="s">
        <v>11</v>
      </c>
      <c r="D12" s="679" t="s">
        <v>12</v>
      </c>
    </row>
    <row r="13" spans="1:16" ht="13.5" customHeight="1" thickBot="1" x14ac:dyDescent="0.3">
      <c r="A13" s="673">
        <v>5.1348019425567788</v>
      </c>
      <c r="B13" s="674">
        <v>5.7141581341999625</v>
      </c>
      <c r="C13" s="674">
        <v>6.2452082892573921</v>
      </c>
      <c r="D13" s="675">
        <v>7.3838412293408577</v>
      </c>
    </row>
  </sheetData>
  <mergeCells count="4">
    <mergeCell ref="A11:B11"/>
    <mergeCell ref="C11:D11"/>
    <mergeCell ref="A2:G2"/>
    <mergeCell ref="I2:P2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A2"/>
  <sheetViews>
    <sheetView workbookViewId="0">
      <selection activeCell="H2" sqref="H2"/>
    </sheetView>
  </sheetViews>
  <sheetFormatPr defaultRowHeight="15" x14ac:dyDescent="0.25"/>
  <sheetData>
    <row r="1" spans="1:1" ht="23.25" customHeight="1" x14ac:dyDescent="0.25"/>
    <row r="2" spans="1:1" ht="15.75" x14ac:dyDescent="0.25">
      <c r="A2" s="491" t="s">
        <v>587</v>
      </c>
    </row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5"/>
  <sheetViews>
    <sheetView zoomScaleNormal="100" zoomScaleSheetLayoutView="130" workbookViewId="0">
      <selection activeCell="I1" sqref="I1"/>
    </sheetView>
  </sheetViews>
  <sheetFormatPr defaultRowHeight="15" x14ac:dyDescent="0.25"/>
  <cols>
    <col min="1" max="1" width="37.28515625" customWidth="1"/>
    <col min="2" max="2" width="12.7109375" customWidth="1"/>
    <col min="3" max="3" width="10.28515625" customWidth="1"/>
    <col min="4" max="4" width="9.5703125" customWidth="1"/>
  </cols>
  <sheetData>
    <row r="1" spans="1:17" ht="27.75" customHeight="1" x14ac:dyDescent="0.25"/>
    <row r="2" spans="1:17" ht="45.75" hidden="1" customHeight="1" x14ac:dyDescent="0.25">
      <c r="A2" s="1525" t="s">
        <v>363</v>
      </c>
      <c r="B2" s="1525"/>
      <c r="C2" s="1525"/>
      <c r="D2" s="1525"/>
      <c r="E2" s="1525"/>
      <c r="F2" s="1525"/>
      <c r="G2" s="1525"/>
    </row>
    <row r="3" spans="1:17" hidden="1" x14ac:dyDescent="0.25">
      <c r="A3" s="1521"/>
      <c r="B3" s="1522"/>
      <c r="C3" s="374" t="s">
        <v>12</v>
      </c>
      <c r="D3" s="375" t="s">
        <v>11</v>
      </c>
    </row>
    <row r="4" spans="1:17" hidden="1" x14ac:dyDescent="0.25">
      <c r="A4" s="1523" t="s">
        <v>277</v>
      </c>
      <c r="B4" s="1524"/>
      <c r="C4" s="330">
        <v>2988.9999999999982</v>
      </c>
      <c r="D4" s="331">
        <v>3306</v>
      </c>
    </row>
    <row r="5" spans="1:17" hidden="1" x14ac:dyDescent="0.25">
      <c r="A5" s="1515" t="s">
        <v>330</v>
      </c>
      <c r="B5" s="1516"/>
      <c r="C5" s="332">
        <v>2974.9999999999927</v>
      </c>
      <c r="D5" s="333">
        <v>3331.0000000000014</v>
      </c>
    </row>
    <row r="6" spans="1:17" hidden="1" x14ac:dyDescent="0.25">
      <c r="A6" s="1515" t="s">
        <v>284</v>
      </c>
      <c r="B6" s="1516"/>
      <c r="C6" s="332">
        <v>758.99999999999932</v>
      </c>
      <c r="D6" s="333">
        <v>696.9999999999992</v>
      </c>
    </row>
    <row r="7" spans="1:17" hidden="1" x14ac:dyDescent="0.25">
      <c r="A7" s="1515" t="s">
        <v>285</v>
      </c>
      <c r="B7" s="1516"/>
      <c r="C7" s="332">
        <v>772.99999999999989</v>
      </c>
      <c r="D7" s="333">
        <v>712.99999999999898</v>
      </c>
    </row>
    <row r="8" spans="1:17" hidden="1" x14ac:dyDescent="0.25">
      <c r="A8" s="1515" t="s">
        <v>297</v>
      </c>
      <c r="B8" s="1516"/>
      <c r="C8" s="332">
        <v>858.00000000000125</v>
      </c>
      <c r="D8" s="333">
        <v>595.00000000000023</v>
      </c>
    </row>
    <row r="9" spans="1:17" hidden="1" x14ac:dyDescent="0.25">
      <c r="A9" s="1515" t="s">
        <v>303</v>
      </c>
      <c r="B9" s="1516"/>
      <c r="C9" s="332">
        <v>248.00000000000085</v>
      </c>
      <c r="D9" s="333">
        <v>254.99999999999937</v>
      </c>
    </row>
    <row r="10" spans="1:17" hidden="1" x14ac:dyDescent="0.25">
      <c r="A10" s="1515" t="s">
        <v>298</v>
      </c>
      <c r="B10" s="1516"/>
      <c r="C10" s="332">
        <v>1232.0000000000009</v>
      </c>
      <c r="D10" s="333">
        <v>1038.9999999999995</v>
      </c>
    </row>
    <row r="11" spans="1:17" hidden="1" x14ac:dyDescent="0.25">
      <c r="A11" s="1519" t="s">
        <v>274</v>
      </c>
      <c r="B11" s="1520"/>
      <c r="C11" s="334">
        <v>3367</v>
      </c>
      <c r="D11" s="335">
        <v>3748</v>
      </c>
    </row>
    <row r="12" spans="1:17" hidden="1" x14ac:dyDescent="0.25">
      <c r="A12" s="1517"/>
      <c r="B12" s="1518"/>
      <c r="C12" s="1518"/>
      <c r="D12" s="1518"/>
    </row>
    <row r="13" spans="1:17" hidden="1" x14ac:dyDescent="0.25"/>
    <row r="14" spans="1:17" ht="15" customHeight="1" x14ac:dyDescent="0.25">
      <c r="A14" s="1229" t="s">
        <v>451</v>
      </c>
      <c r="B14" s="1229"/>
      <c r="C14" s="1229"/>
      <c r="D14" s="1229"/>
      <c r="E14" s="1229"/>
      <c r="F14" s="1229"/>
      <c r="G14" s="1229"/>
      <c r="I14" s="1229" t="s">
        <v>452</v>
      </c>
      <c r="J14" s="1229"/>
      <c r="K14" s="1229"/>
      <c r="L14" s="1229"/>
      <c r="M14" s="1229"/>
      <c r="N14" s="1229"/>
      <c r="O14" s="1229"/>
      <c r="P14" s="1229"/>
      <c r="Q14" s="1229"/>
    </row>
    <row r="15" spans="1:17" ht="30.75" customHeight="1" x14ac:dyDescent="0.25">
      <c r="A15" s="1229"/>
      <c r="B15" s="1229"/>
      <c r="C15" s="1229"/>
      <c r="D15" s="1229"/>
      <c r="E15" s="1229"/>
      <c r="F15" s="1229"/>
      <c r="G15" s="1229"/>
      <c r="I15" s="1229"/>
      <c r="J15" s="1229"/>
      <c r="K15" s="1229"/>
      <c r="L15" s="1229"/>
      <c r="M15" s="1229"/>
      <c r="N15" s="1229"/>
      <c r="O15" s="1229"/>
      <c r="P15" s="1229"/>
      <c r="Q15" s="1229"/>
    </row>
    <row r="16" spans="1:17" ht="15.75" thickBot="1" x14ac:dyDescent="0.3">
      <c r="A16" s="1509"/>
      <c r="B16" s="1510"/>
      <c r="C16" s="1511"/>
      <c r="D16" s="151"/>
    </row>
    <row r="17" spans="1:4" ht="15.75" thickBot="1" x14ac:dyDescent="0.3">
      <c r="A17" s="1061"/>
      <c r="B17" s="681" t="s">
        <v>12</v>
      </c>
      <c r="C17" s="680" t="s">
        <v>11</v>
      </c>
      <c r="D17" s="151"/>
    </row>
    <row r="18" spans="1:4" ht="18" customHeight="1" x14ac:dyDescent="0.25">
      <c r="A18" s="1163" t="s">
        <v>277</v>
      </c>
      <c r="B18" s="682">
        <v>154.00314213326115</v>
      </c>
      <c r="C18" s="683">
        <v>144.15090529979085</v>
      </c>
      <c r="D18" s="151"/>
    </row>
    <row r="19" spans="1:4" ht="18" customHeight="1" x14ac:dyDescent="0.25">
      <c r="A19" s="1164" t="s">
        <v>330</v>
      </c>
      <c r="B19" s="684">
        <v>115.96376486068716</v>
      </c>
      <c r="C19" s="685">
        <v>112.61434171203955</v>
      </c>
      <c r="D19" s="151"/>
    </row>
    <row r="20" spans="1:4" ht="18" customHeight="1" x14ac:dyDescent="0.25">
      <c r="A20" s="1164" t="s">
        <v>297</v>
      </c>
      <c r="B20" s="684">
        <v>32.947548358285815</v>
      </c>
      <c r="C20" s="685">
        <v>14.478844512280984</v>
      </c>
      <c r="D20" s="151"/>
    </row>
    <row r="21" spans="1:4" ht="18" customHeight="1" x14ac:dyDescent="0.25">
      <c r="A21" s="1164" t="s">
        <v>284</v>
      </c>
      <c r="B21" s="684">
        <v>25.417254002153022</v>
      </c>
      <c r="C21" s="685">
        <v>18.550904545020405</v>
      </c>
      <c r="D21" s="151"/>
    </row>
    <row r="22" spans="1:4" ht="18" customHeight="1" x14ac:dyDescent="0.25">
      <c r="A22" s="1165" t="s">
        <v>298</v>
      </c>
      <c r="B22" s="686">
        <v>19.660724946437206</v>
      </c>
      <c r="C22" s="687">
        <v>13.831452217162164</v>
      </c>
      <c r="D22" s="151"/>
    </row>
    <row r="23" spans="1:4" ht="18" customHeight="1" x14ac:dyDescent="0.25">
      <c r="A23" s="1164" t="s">
        <v>285</v>
      </c>
      <c r="B23" s="684">
        <v>13.579961435492635</v>
      </c>
      <c r="C23" s="685">
        <v>15.079724103702437</v>
      </c>
      <c r="D23" s="151"/>
    </row>
    <row r="24" spans="1:4" ht="18" customHeight="1" thickBot="1" x14ac:dyDescent="0.3">
      <c r="A24" s="1166" t="s">
        <v>303</v>
      </c>
      <c r="B24" s="688">
        <v>9.9002310895245156</v>
      </c>
      <c r="C24" s="689">
        <v>8.4174815354208317</v>
      </c>
      <c r="D24" s="151"/>
    </row>
    <row r="25" spans="1:4" x14ac:dyDescent="0.25">
      <c r="A25" s="1512"/>
      <c r="B25" s="1513"/>
      <c r="C25" s="1514"/>
    </row>
  </sheetData>
  <mergeCells count="15">
    <mergeCell ref="I14:Q15"/>
    <mergeCell ref="A5:B5"/>
    <mergeCell ref="A3:B3"/>
    <mergeCell ref="A4:B4"/>
    <mergeCell ref="A2:G2"/>
    <mergeCell ref="A16:C16"/>
    <mergeCell ref="A25:C25"/>
    <mergeCell ref="A6:B6"/>
    <mergeCell ref="A7:B7"/>
    <mergeCell ref="A8:B8"/>
    <mergeCell ref="A9:B9"/>
    <mergeCell ref="A10:B10"/>
    <mergeCell ref="A12:D12"/>
    <mergeCell ref="A11:B11"/>
    <mergeCell ref="A14:G15"/>
  </mergeCells>
  <pageMargins left="0.7" right="0.7" top="0.75" bottom="0.75" header="0.3" footer="0.3"/>
  <pageSetup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26"/>
  <sheetViews>
    <sheetView zoomScaleNormal="100" workbookViewId="0">
      <selection activeCell="M1" sqref="M1"/>
    </sheetView>
  </sheetViews>
  <sheetFormatPr defaultRowHeight="15" x14ac:dyDescent="0.25"/>
  <cols>
    <col min="1" max="1" width="30.5703125" customWidth="1"/>
    <col min="2" max="2" width="12.28515625" customWidth="1"/>
    <col min="3" max="3" width="9.7109375" customWidth="1"/>
    <col min="4" max="4" width="11" customWidth="1"/>
    <col min="5" max="5" width="9.5703125" customWidth="1"/>
    <col min="6" max="6" width="11.85546875" customWidth="1"/>
    <col min="7" max="7" width="9.7109375" customWidth="1"/>
    <col min="8" max="8" width="11.85546875" customWidth="1"/>
    <col min="9" max="9" width="8.42578125" customWidth="1"/>
    <col min="10" max="10" width="10.28515625" customWidth="1"/>
    <col min="11" max="11" width="10" customWidth="1"/>
    <col min="23" max="23" width="18.85546875" customWidth="1"/>
  </cols>
  <sheetData>
    <row r="1" spans="1:23" ht="24.75" customHeight="1" x14ac:dyDescent="0.25">
      <c r="A1" s="78"/>
      <c r="B1" s="78"/>
      <c r="C1" s="78"/>
      <c r="D1" s="78"/>
      <c r="E1" s="78"/>
      <c r="F1" s="78"/>
      <c r="G1" s="78"/>
      <c r="H1" s="78"/>
      <c r="I1" s="78"/>
      <c r="J1" s="78"/>
      <c r="K1" s="78"/>
    </row>
    <row r="2" spans="1:23" ht="34.5" customHeight="1" thickBot="1" x14ac:dyDescent="0.3">
      <c r="A2" s="1526" t="s">
        <v>449</v>
      </c>
      <c r="B2" s="1526"/>
      <c r="C2" s="1526"/>
      <c r="D2" s="1526"/>
      <c r="E2" s="1526"/>
      <c r="F2" s="1526"/>
      <c r="G2" s="1526"/>
      <c r="H2" s="1526"/>
      <c r="I2" s="1526"/>
      <c r="J2" s="1526"/>
      <c r="K2" s="1526"/>
      <c r="M2" s="1229" t="s">
        <v>450</v>
      </c>
      <c r="N2" s="1229"/>
      <c r="O2" s="1229"/>
      <c r="P2" s="1229"/>
      <c r="Q2" s="1229"/>
      <c r="R2" s="1229"/>
      <c r="S2" s="1229"/>
      <c r="T2" s="1229"/>
      <c r="U2" s="1229"/>
      <c r="V2" s="1229"/>
      <c r="W2" s="1229"/>
    </row>
    <row r="3" spans="1:23" ht="48.75" customHeight="1" x14ac:dyDescent="0.25">
      <c r="A3" s="1527"/>
      <c r="B3" s="1529" t="s">
        <v>89</v>
      </c>
      <c r="C3" s="1530"/>
      <c r="D3" s="1529" t="s">
        <v>90</v>
      </c>
      <c r="E3" s="1530"/>
      <c r="F3" s="1529" t="s">
        <v>91</v>
      </c>
      <c r="G3" s="1530"/>
      <c r="H3" s="1531" t="s">
        <v>92</v>
      </c>
      <c r="I3" s="1532"/>
      <c r="J3" s="1533" t="s">
        <v>93</v>
      </c>
      <c r="K3" s="1530"/>
    </row>
    <row r="4" spans="1:23" ht="15.95" customHeight="1" thickBot="1" x14ac:dyDescent="0.3">
      <c r="A4" s="1528"/>
      <c r="B4" s="691" t="s">
        <v>102</v>
      </c>
      <c r="C4" s="1000" t="s">
        <v>101</v>
      </c>
      <c r="D4" s="691" t="s">
        <v>102</v>
      </c>
      <c r="E4" s="690" t="s">
        <v>101</v>
      </c>
      <c r="F4" s="691" t="s">
        <v>102</v>
      </c>
      <c r="G4" s="690" t="s">
        <v>101</v>
      </c>
      <c r="H4" s="691" t="s">
        <v>102</v>
      </c>
      <c r="I4" s="690" t="s">
        <v>101</v>
      </c>
      <c r="J4" s="691" t="s">
        <v>102</v>
      </c>
      <c r="K4" s="690" t="s">
        <v>101</v>
      </c>
    </row>
    <row r="5" spans="1:23" ht="17.100000000000001" customHeight="1" x14ac:dyDescent="0.25">
      <c r="A5" s="1169" t="s">
        <v>277</v>
      </c>
      <c r="B5" s="692">
        <v>191.99025004726781</v>
      </c>
      <c r="C5" s="693">
        <v>150.58569962480144</v>
      </c>
      <c r="D5" s="692">
        <v>125.31676065796852</v>
      </c>
      <c r="E5" s="693">
        <v>95.202346873832369</v>
      </c>
      <c r="F5" s="692">
        <v>148.27428010879291</v>
      </c>
      <c r="G5" s="693">
        <v>119.41629906181585</v>
      </c>
      <c r="H5" s="692"/>
      <c r="I5" s="693">
        <v>117.97614844832515</v>
      </c>
      <c r="J5" s="692">
        <v>129.66276485954501</v>
      </c>
      <c r="K5" s="693">
        <v>156.14814373384141</v>
      </c>
    </row>
    <row r="6" spans="1:23" x14ac:dyDescent="0.25">
      <c r="A6" s="1170" t="s">
        <v>330</v>
      </c>
      <c r="B6" s="1167">
        <v>118.5890840520203</v>
      </c>
      <c r="C6" s="1168">
        <v>101.11121172580654</v>
      </c>
      <c r="D6" s="1167">
        <v>84.894111259661955</v>
      </c>
      <c r="E6" s="1168">
        <v>87.445768198485496</v>
      </c>
      <c r="F6" s="1167">
        <v>94.814656683843438</v>
      </c>
      <c r="G6" s="1168">
        <v>85.943459594885653</v>
      </c>
      <c r="H6" s="1167"/>
      <c r="I6" s="1168">
        <v>76.57964838307953</v>
      </c>
      <c r="J6" s="1167">
        <v>125.63052760030796</v>
      </c>
      <c r="K6" s="1168">
        <v>135.6775738049713</v>
      </c>
    </row>
    <row r="7" spans="1:23" ht="17.100000000000001" customHeight="1" x14ac:dyDescent="0.25">
      <c r="A7" s="1170" t="s">
        <v>332</v>
      </c>
      <c r="B7" s="696">
        <v>67.200433641652495</v>
      </c>
      <c r="C7" s="695">
        <v>50.629125917831225</v>
      </c>
      <c r="D7" s="696">
        <v>42.478629805782596</v>
      </c>
      <c r="E7" s="695">
        <v>31.167325666872252</v>
      </c>
      <c r="F7" s="696">
        <v>48.077624999999998</v>
      </c>
      <c r="G7" s="695">
        <v>42.25502685577969</v>
      </c>
      <c r="H7" s="696"/>
      <c r="I7" s="695">
        <v>41.454796223906868</v>
      </c>
      <c r="J7" s="696">
        <v>42.63971457837696</v>
      </c>
      <c r="K7" s="697">
        <v>57.69916186122979</v>
      </c>
    </row>
    <row r="8" spans="1:23" x14ac:dyDescent="0.25">
      <c r="A8" s="1170" t="s">
        <v>284</v>
      </c>
      <c r="B8" s="1167">
        <v>21.571579967685889</v>
      </c>
      <c r="C8" s="1168">
        <v>13.130732281330959</v>
      </c>
      <c r="D8" s="1167">
        <v>17.743861560383408</v>
      </c>
      <c r="E8" s="1168">
        <v>23.300927560841963</v>
      </c>
      <c r="F8" s="1167">
        <v>21.567847225341961</v>
      </c>
      <c r="G8" s="1168">
        <v>18.254871243926839</v>
      </c>
      <c r="H8" s="1167"/>
      <c r="I8" s="1168">
        <v>14.358047926950659</v>
      </c>
      <c r="J8" s="1167">
        <v>31.486360537241225</v>
      </c>
      <c r="K8" s="1168">
        <v>22.373675486282419</v>
      </c>
    </row>
    <row r="9" spans="1:23" x14ac:dyDescent="0.25">
      <c r="A9" s="1170" t="s">
        <v>297</v>
      </c>
      <c r="B9" s="1167">
        <v>18.098565897350483</v>
      </c>
      <c r="C9" s="1168">
        <v>10.012970454623597</v>
      </c>
      <c r="D9" s="1167">
        <v>14.497835556206777</v>
      </c>
      <c r="E9" s="1168">
        <v>18.080616960081052</v>
      </c>
      <c r="F9" s="1167">
        <v>16.376344366424888</v>
      </c>
      <c r="G9" s="1168">
        <v>10.625465927399334</v>
      </c>
      <c r="H9" s="1167"/>
      <c r="I9" s="1168">
        <v>9.311458354305941</v>
      </c>
      <c r="J9" s="1167">
        <v>53.72655110893318</v>
      </c>
      <c r="K9" s="1168">
        <v>18.684027744927214</v>
      </c>
    </row>
    <row r="10" spans="1:23" ht="17.100000000000001" customHeight="1" x14ac:dyDescent="0.25">
      <c r="A10" s="1170" t="s">
        <v>285</v>
      </c>
      <c r="B10" s="696">
        <v>19.012933875527391</v>
      </c>
      <c r="C10" s="695">
        <v>15.200759190861319</v>
      </c>
      <c r="D10" s="696">
        <v>5.0476761919800364</v>
      </c>
      <c r="E10" s="695">
        <v>5.7424632116817715</v>
      </c>
      <c r="F10" s="696">
        <v>11.190965791574378</v>
      </c>
      <c r="G10" s="695">
        <v>9.2949959011667929</v>
      </c>
      <c r="H10" s="696"/>
      <c r="I10" s="695">
        <v>9.3951873812265561</v>
      </c>
      <c r="J10" s="696">
        <v>11.526726881070436</v>
      </c>
      <c r="K10" s="697">
        <v>18.569549986412319</v>
      </c>
    </row>
    <row r="11" spans="1:23" ht="17.100000000000001" customHeight="1" x14ac:dyDescent="0.25">
      <c r="A11" s="1170" t="s">
        <v>333</v>
      </c>
      <c r="B11" s="694">
        <v>14.62680047868791</v>
      </c>
      <c r="C11" s="697">
        <v>12.106507294272056</v>
      </c>
      <c r="D11" s="694">
        <v>12.579287698706569</v>
      </c>
      <c r="E11" s="697">
        <v>11.162436110232813</v>
      </c>
      <c r="F11" s="694">
        <v>14.088086166017638</v>
      </c>
      <c r="G11" s="697">
        <v>9.219491458985992</v>
      </c>
      <c r="H11" s="694"/>
      <c r="I11" s="697">
        <v>7.0030417138517516</v>
      </c>
      <c r="J11" s="694">
        <v>27.105197427838036</v>
      </c>
      <c r="K11" s="697">
        <v>17.322301294115352</v>
      </c>
    </row>
    <row r="12" spans="1:23" ht="15.75" thickBot="1" x14ac:dyDescent="0.3">
      <c r="A12" s="698" t="s">
        <v>303</v>
      </c>
      <c r="B12" s="1171">
        <v>11.103575870378645</v>
      </c>
      <c r="C12" s="1172">
        <v>11.414824581911013</v>
      </c>
      <c r="D12" s="1171">
        <v>6.919098176551695</v>
      </c>
      <c r="E12" s="1172">
        <v>2.6768679489063132</v>
      </c>
      <c r="F12" s="1171">
        <v>7.8465537186953576</v>
      </c>
      <c r="G12" s="1172">
        <v>2.0663901057207941</v>
      </c>
      <c r="H12" s="1171"/>
      <c r="I12" s="1172">
        <v>0.92014843600372853</v>
      </c>
      <c r="J12" s="1171">
        <v>10.172324777535149</v>
      </c>
      <c r="K12" s="1172">
        <v>9.1494394260267846</v>
      </c>
    </row>
    <row r="15" spans="1:23" x14ac:dyDescent="0.25">
      <c r="B15" s="995"/>
      <c r="C15" s="996"/>
      <c r="D15" s="995"/>
      <c r="E15" s="995"/>
      <c r="F15" s="995"/>
      <c r="G15" s="995"/>
      <c r="H15" s="995"/>
      <c r="I15" s="995"/>
      <c r="J15" s="995"/>
      <c r="K15" s="995"/>
    </row>
    <row r="16" spans="1:23" x14ac:dyDescent="0.25">
      <c r="B16" s="997"/>
      <c r="C16" s="997"/>
      <c r="D16" s="997"/>
      <c r="E16" s="997"/>
      <c r="F16" s="997"/>
      <c r="G16" s="997"/>
      <c r="H16" s="997"/>
      <c r="I16" s="997"/>
      <c r="J16" s="997"/>
      <c r="K16" s="997"/>
    </row>
    <row r="17" spans="2:11" x14ac:dyDescent="0.25">
      <c r="B17" s="998"/>
      <c r="C17" s="998"/>
      <c r="D17" s="998"/>
      <c r="E17" s="998"/>
      <c r="F17" s="998"/>
      <c r="G17" s="998"/>
      <c r="H17" s="998"/>
      <c r="I17" s="998"/>
      <c r="J17" s="998"/>
      <c r="K17" s="998"/>
    </row>
    <row r="18" spans="2:11" x14ac:dyDescent="0.25">
      <c r="B18" s="1177"/>
      <c r="C18" s="1178"/>
      <c r="D18" s="1179"/>
      <c r="E18" s="1180"/>
      <c r="F18" s="1181"/>
      <c r="G18" s="1178"/>
      <c r="H18" s="1181"/>
      <c r="I18" s="1178"/>
      <c r="J18" s="1181"/>
      <c r="K18" s="1178"/>
    </row>
    <row r="19" spans="2:11" x14ac:dyDescent="0.25">
      <c r="B19" s="995"/>
      <c r="C19" s="996"/>
      <c r="D19" s="995"/>
      <c r="E19" s="995"/>
      <c r="F19" s="995"/>
      <c r="G19" s="995"/>
      <c r="H19" s="995"/>
      <c r="I19" s="995"/>
      <c r="J19" s="995"/>
      <c r="K19" s="995"/>
    </row>
    <row r="20" spans="2:11" x14ac:dyDescent="0.25">
      <c r="B20" s="997"/>
      <c r="C20" s="997"/>
      <c r="D20" s="997"/>
      <c r="E20" s="997"/>
      <c r="F20" s="997"/>
      <c r="G20" s="997"/>
      <c r="H20" s="997"/>
      <c r="I20" s="997"/>
      <c r="J20" s="997"/>
      <c r="K20" s="997"/>
    </row>
    <row r="21" spans="2:11" x14ac:dyDescent="0.25">
      <c r="B21" s="1176"/>
      <c r="C21" s="1176"/>
      <c r="D21" s="1176"/>
      <c r="E21" s="1176"/>
      <c r="F21" s="1176"/>
      <c r="G21" s="1176"/>
      <c r="H21" s="1176"/>
      <c r="I21" s="1176"/>
      <c r="J21" s="1176"/>
      <c r="K21" s="1176"/>
    </row>
    <row r="22" spans="2:11" x14ac:dyDescent="0.25">
      <c r="B22" s="999"/>
      <c r="C22" s="997"/>
      <c r="D22" s="999"/>
      <c r="E22" s="999"/>
      <c r="F22" s="999"/>
      <c r="G22" s="999"/>
      <c r="H22" s="999"/>
      <c r="I22" s="999"/>
      <c r="J22" s="999"/>
      <c r="K22" s="999"/>
    </row>
    <row r="23" spans="2:11" x14ac:dyDescent="0.25">
      <c r="B23" s="1176"/>
      <c r="C23" s="1176"/>
      <c r="D23" s="1176"/>
      <c r="E23" s="1176"/>
      <c r="F23" s="1176"/>
      <c r="G23" s="1176"/>
      <c r="H23" s="1176"/>
      <c r="I23" s="1176"/>
      <c r="J23" s="1176"/>
      <c r="K23" s="1176"/>
    </row>
    <row r="24" spans="2:11" x14ac:dyDescent="0.25">
      <c r="B24" s="1176"/>
      <c r="C24" s="1176"/>
      <c r="D24" s="1176"/>
      <c r="E24" s="1176"/>
      <c r="F24" s="1176"/>
      <c r="G24" s="1176"/>
      <c r="H24" s="1176"/>
      <c r="I24" s="1176"/>
      <c r="J24" s="1176"/>
      <c r="K24" s="1176"/>
    </row>
    <row r="25" spans="2:11" x14ac:dyDescent="0.25">
      <c r="B25" s="999"/>
      <c r="C25" s="997"/>
      <c r="D25" s="999"/>
      <c r="E25" s="999"/>
      <c r="F25" s="999"/>
      <c r="G25" s="999"/>
      <c r="H25" s="999"/>
      <c r="I25" s="999"/>
      <c r="J25" s="999"/>
      <c r="K25" s="999"/>
    </row>
    <row r="26" spans="2:11" x14ac:dyDescent="0.25">
      <c r="B26" s="997"/>
      <c r="C26" s="997"/>
      <c r="D26" s="997"/>
      <c r="E26" s="997"/>
      <c r="F26" s="997"/>
      <c r="G26" s="997"/>
      <c r="H26" s="997"/>
      <c r="I26" s="997"/>
      <c r="J26" s="997"/>
      <c r="K26" s="997"/>
    </row>
  </sheetData>
  <sortState ref="A6:AL21">
    <sortCondition descending="1" ref="B6:B21"/>
  </sortState>
  <mergeCells count="8">
    <mergeCell ref="M2:W2"/>
    <mergeCell ref="A2:K2"/>
    <mergeCell ref="A3:A4"/>
    <mergeCell ref="B3:C3"/>
    <mergeCell ref="D3:E3"/>
    <mergeCell ref="F3:G3"/>
    <mergeCell ref="H3:I3"/>
    <mergeCell ref="J3:K3"/>
  </mergeCells>
  <pageMargins left="0.7" right="0.7" top="0.75" bottom="0.75" header="0.3" footer="0.3"/>
  <pageSetup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P17"/>
  <sheetViews>
    <sheetView workbookViewId="0">
      <selection activeCell="G1" sqref="G1"/>
    </sheetView>
  </sheetViews>
  <sheetFormatPr defaultRowHeight="15" x14ac:dyDescent="0.25"/>
  <cols>
    <col min="1" max="1" width="36.5703125" customWidth="1"/>
    <col min="2" max="3" width="14.85546875" customWidth="1"/>
    <col min="4" max="4" width="15.42578125" customWidth="1"/>
    <col min="5" max="5" width="15" customWidth="1"/>
    <col min="6" max="10" width="9.5703125" customWidth="1"/>
  </cols>
  <sheetData>
    <row r="1" spans="1:16" ht="30" customHeight="1" x14ac:dyDescent="0.25"/>
    <row r="2" spans="1:16" ht="50.25" customHeight="1" thickBot="1" x14ac:dyDescent="0.3">
      <c r="A2" s="1534" t="s">
        <v>447</v>
      </c>
      <c r="B2" s="1535"/>
      <c r="C2" s="1535"/>
      <c r="D2" s="1535"/>
      <c r="E2" s="1536"/>
      <c r="G2" s="1229" t="s">
        <v>448</v>
      </c>
      <c r="H2" s="1229"/>
      <c r="I2" s="1229"/>
      <c r="J2" s="1229"/>
      <c r="K2" s="1229"/>
      <c r="L2" s="1229"/>
      <c r="M2" s="1229"/>
      <c r="N2" s="1229"/>
      <c r="O2" s="1229"/>
      <c r="P2" s="1229"/>
    </row>
    <row r="3" spans="1:16" ht="18" customHeight="1" x14ac:dyDescent="0.25">
      <c r="A3" s="1059"/>
      <c r="B3" s="1537" t="s">
        <v>215</v>
      </c>
      <c r="C3" s="1538"/>
      <c r="D3" s="1538" t="s">
        <v>216</v>
      </c>
      <c r="E3" s="1539"/>
    </row>
    <row r="4" spans="1:16" ht="34.5" customHeight="1" thickBot="1" x14ac:dyDescent="0.3">
      <c r="A4" s="1060"/>
      <c r="B4" s="699" t="s">
        <v>331</v>
      </c>
      <c r="C4" s="700" t="s">
        <v>350</v>
      </c>
      <c r="D4" s="700" t="s">
        <v>349</v>
      </c>
      <c r="E4" s="701" t="s">
        <v>348</v>
      </c>
    </row>
    <row r="5" spans="1:16" x14ac:dyDescent="0.25">
      <c r="A5" s="702" t="s">
        <v>277</v>
      </c>
      <c r="B5" s="703">
        <v>190.8738906476805</v>
      </c>
      <c r="C5" s="704">
        <v>167.56564481998612</v>
      </c>
      <c r="D5" s="705">
        <v>119.25461797616879</v>
      </c>
      <c r="E5" s="706">
        <v>103.85784816101557</v>
      </c>
    </row>
    <row r="6" spans="1:16" ht="15" customHeight="1" x14ac:dyDescent="0.25">
      <c r="A6" s="707" t="s">
        <v>330</v>
      </c>
      <c r="B6" s="708">
        <v>135.93035984783583</v>
      </c>
      <c r="C6" s="709">
        <v>127.64514826799621</v>
      </c>
      <c r="D6" s="710">
        <v>97.146416794794291</v>
      </c>
      <c r="E6" s="711">
        <v>86.748704945990283</v>
      </c>
    </row>
    <row r="7" spans="1:16" ht="15" customHeight="1" x14ac:dyDescent="0.25">
      <c r="A7" s="707" t="s">
        <v>284</v>
      </c>
      <c r="B7" s="708">
        <v>32.746501234659235</v>
      </c>
      <c r="C7" s="709">
        <v>19.405304132049046</v>
      </c>
      <c r="D7" s="710">
        <v>18.509867123027149</v>
      </c>
      <c r="E7" s="711">
        <v>17.08061821747901</v>
      </c>
    </row>
    <row r="8" spans="1:16" x14ac:dyDescent="0.25">
      <c r="A8" s="707" t="s">
        <v>285</v>
      </c>
      <c r="B8" s="708">
        <v>19.871815771870349</v>
      </c>
      <c r="C8" s="709">
        <v>16.554122099614052</v>
      </c>
      <c r="D8" s="710">
        <v>7.6502566909570602</v>
      </c>
      <c r="E8" s="711">
        <v>12.542518740246702</v>
      </c>
    </row>
    <row r="9" spans="1:16" ht="15" customHeight="1" x14ac:dyDescent="0.25">
      <c r="A9" s="707" t="s">
        <v>297</v>
      </c>
      <c r="B9" s="708">
        <v>42.287821893981246</v>
      </c>
      <c r="C9" s="709">
        <v>15.95528709542204</v>
      </c>
      <c r="D9" s="710">
        <v>24.144886799569999</v>
      </c>
      <c r="E9" s="711">
        <v>11.938120738125116</v>
      </c>
    </row>
    <row r="10" spans="1:16" ht="15" customHeight="1" x14ac:dyDescent="0.25">
      <c r="A10" s="707" t="s">
        <v>303</v>
      </c>
      <c r="B10" s="708">
        <v>14.397133474143017</v>
      </c>
      <c r="C10" s="709">
        <v>11.080459432485961</v>
      </c>
      <c r="D10" s="710">
        <v>5.6621635850664598</v>
      </c>
      <c r="E10" s="711">
        <v>3.8349184676919301</v>
      </c>
    </row>
    <row r="11" spans="1:16" ht="15" customHeight="1" thickBot="1" x14ac:dyDescent="0.3">
      <c r="A11" s="712" t="s">
        <v>298</v>
      </c>
      <c r="B11" s="713">
        <v>21.567951159154806</v>
      </c>
      <c r="C11" s="714">
        <v>14.641222208740656</v>
      </c>
      <c r="D11" s="715">
        <v>17.863275781559448</v>
      </c>
      <c r="E11" s="716">
        <v>12.437966352764816</v>
      </c>
    </row>
    <row r="12" spans="1:16" x14ac:dyDescent="0.25">
      <c r="C12" s="77"/>
    </row>
    <row r="15" spans="1:16" ht="21" customHeight="1" x14ac:dyDescent="0.25"/>
    <row r="17" ht="39.75" customHeight="1" x14ac:dyDescent="0.25"/>
  </sheetData>
  <mergeCells count="4">
    <mergeCell ref="A2:E2"/>
    <mergeCell ref="B3:C3"/>
    <mergeCell ref="D3:E3"/>
    <mergeCell ref="G2:P2"/>
  </mergeCells>
  <pageMargins left="0.7" right="0.7" top="0.75" bottom="0.75" header="0.3" footer="0.3"/>
  <pageSetup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7"/>
  <sheetViews>
    <sheetView workbookViewId="0">
      <selection activeCell="J1" sqref="J1"/>
    </sheetView>
  </sheetViews>
  <sheetFormatPr defaultRowHeight="15" x14ac:dyDescent="0.25"/>
  <cols>
    <col min="1" max="1" width="12.140625" customWidth="1"/>
    <col min="2" max="2" width="12.42578125" customWidth="1"/>
    <col min="3" max="3" width="13.42578125" customWidth="1"/>
    <col min="9" max="9" width="6.7109375" customWidth="1"/>
  </cols>
  <sheetData>
    <row r="1" spans="1:17" ht="28.5" customHeight="1" x14ac:dyDescent="0.25"/>
    <row r="2" spans="1:17" ht="15" customHeight="1" x14ac:dyDescent="0.25">
      <c r="A2" s="1449" t="s">
        <v>445</v>
      </c>
      <c r="B2" s="1449"/>
      <c r="C2" s="1449"/>
      <c r="D2" s="1449"/>
      <c r="E2" s="1449"/>
      <c r="F2" s="1449"/>
      <c r="G2" s="1449"/>
      <c r="H2" s="1449"/>
      <c r="J2" s="1229" t="s">
        <v>446</v>
      </c>
      <c r="K2" s="1229"/>
      <c r="L2" s="1229"/>
      <c r="M2" s="1229"/>
      <c r="N2" s="1229"/>
      <c r="O2" s="1229"/>
      <c r="P2" s="1229"/>
      <c r="Q2" s="1229"/>
    </row>
    <row r="3" spans="1:17" ht="21.75" customHeight="1" x14ac:dyDescent="0.25">
      <c r="A3" s="1449"/>
      <c r="B3" s="1449"/>
      <c r="C3" s="1449"/>
      <c r="D3" s="1449"/>
      <c r="E3" s="1449"/>
      <c r="F3" s="1449"/>
      <c r="G3" s="1449"/>
      <c r="H3" s="1449"/>
      <c r="J3" s="1229"/>
      <c r="K3" s="1229"/>
      <c r="L3" s="1229"/>
      <c r="M3" s="1229"/>
      <c r="N3" s="1229"/>
      <c r="O3" s="1229"/>
      <c r="P3" s="1229"/>
      <c r="Q3" s="1229"/>
    </row>
    <row r="4" spans="1:17" ht="9.75" customHeight="1" thickBot="1" x14ac:dyDescent="0.3">
      <c r="A4" s="404"/>
      <c r="B4" s="404"/>
      <c r="C4" s="404"/>
      <c r="D4" s="404"/>
      <c r="E4" s="404"/>
      <c r="F4" s="404"/>
      <c r="G4" s="404"/>
      <c r="H4" s="404"/>
    </row>
    <row r="5" spans="1:17" x14ac:dyDescent="0.25">
      <c r="A5" s="1540" t="s">
        <v>80</v>
      </c>
      <c r="B5" s="1541"/>
    </row>
    <row r="6" spans="1:17" ht="15.75" thickBot="1" x14ac:dyDescent="0.3">
      <c r="A6" s="1057" t="s">
        <v>11</v>
      </c>
      <c r="B6" s="1058" t="s">
        <v>12</v>
      </c>
    </row>
    <row r="7" spans="1:17" ht="15.75" thickBot="1" x14ac:dyDescent="0.3">
      <c r="A7" s="1055">
        <v>5.35</v>
      </c>
      <c r="B7" s="1056">
        <v>4.74</v>
      </c>
    </row>
  </sheetData>
  <mergeCells count="3">
    <mergeCell ref="A2:H3"/>
    <mergeCell ref="A5:B5"/>
    <mergeCell ref="J2:Q3"/>
  </mergeCells>
  <pageMargins left="0.7" right="0.7" top="0.75" bottom="0.75" header="0.3" footer="0.3"/>
  <pageSetup orientation="portrait" horizontalDpi="0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18"/>
  <sheetViews>
    <sheetView workbookViewId="0">
      <selection activeCell="J1" sqref="J1"/>
    </sheetView>
  </sheetViews>
  <sheetFormatPr defaultRowHeight="15" x14ac:dyDescent="0.25"/>
  <cols>
    <col min="1" max="1" width="16.28515625" bestFit="1" customWidth="1"/>
    <col min="2" max="2" width="13.85546875" customWidth="1"/>
    <col min="3" max="3" width="10.5703125" customWidth="1"/>
    <col min="7" max="7" width="14.85546875" customWidth="1"/>
    <col min="9" max="9" width="10" customWidth="1"/>
  </cols>
  <sheetData>
    <row r="1" spans="1:19" ht="28.5" customHeight="1" x14ac:dyDescent="0.25"/>
    <row r="2" spans="1:19" ht="34.5" customHeight="1" thickBot="1" x14ac:dyDescent="0.3">
      <c r="A2" s="1449" t="s">
        <v>443</v>
      </c>
      <c r="B2" s="1449"/>
      <c r="C2" s="1449"/>
      <c r="D2" s="1449"/>
      <c r="E2" s="1449"/>
      <c r="F2" s="1449"/>
      <c r="G2" s="1449"/>
      <c r="J2" s="1229" t="s">
        <v>444</v>
      </c>
      <c r="K2" s="1229"/>
      <c r="L2" s="1229"/>
      <c r="M2" s="1229"/>
      <c r="N2" s="1229"/>
      <c r="O2" s="1229"/>
      <c r="P2" s="1229"/>
      <c r="Q2" s="1229"/>
      <c r="R2" s="1229"/>
      <c r="S2" s="1229"/>
    </row>
    <row r="3" spans="1:19" ht="15.75" thickBot="1" x14ac:dyDescent="0.3">
      <c r="A3" s="720"/>
      <c r="B3" s="721" t="s">
        <v>81</v>
      </c>
      <c r="C3" s="717" t="s">
        <v>82</v>
      </c>
      <c r="H3" s="81"/>
      <c r="I3" s="81"/>
    </row>
    <row r="4" spans="1:19" x14ac:dyDescent="0.25">
      <c r="A4" s="971" t="s">
        <v>12</v>
      </c>
      <c r="B4" s="722">
        <v>3.14</v>
      </c>
      <c r="C4" s="718">
        <v>10.25</v>
      </c>
    </row>
    <row r="5" spans="1:19" ht="15.75" thickBot="1" x14ac:dyDescent="0.3">
      <c r="A5" s="972" t="s">
        <v>11</v>
      </c>
      <c r="B5" s="723">
        <v>3.74</v>
      </c>
      <c r="C5" s="719">
        <v>9.51</v>
      </c>
      <c r="G5" s="79"/>
    </row>
    <row r="6" spans="1:19" x14ac:dyDescent="0.25">
      <c r="G6" s="80"/>
    </row>
    <row r="8" spans="1:19" x14ac:dyDescent="0.25">
      <c r="G8" s="147"/>
      <c r="H8" s="278"/>
      <c r="I8" s="278"/>
    </row>
    <row r="9" spans="1:19" ht="18.75" customHeight="1" x14ac:dyDescent="0.25">
      <c r="G9" s="279"/>
      <c r="H9" s="147"/>
      <c r="I9" s="147"/>
    </row>
    <row r="10" spans="1:19" x14ac:dyDescent="0.25">
      <c r="G10" s="80"/>
    </row>
    <row r="11" spans="1:19" x14ac:dyDescent="0.25">
      <c r="G11" s="280"/>
      <c r="H11" s="147"/>
      <c r="I11" s="147"/>
    </row>
    <row r="12" spans="1:19" x14ac:dyDescent="0.25">
      <c r="G12" s="80"/>
    </row>
    <row r="13" spans="1:19" x14ac:dyDescent="0.25">
      <c r="G13" s="80"/>
    </row>
    <row r="14" spans="1:19" x14ac:dyDescent="0.25">
      <c r="G14" s="80"/>
    </row>
    <row r="15" spans="1:19" x14ac:dyDescent="0.25">
      <c r="G15" s="80"/>
    </row>
    <row r="17" spans="7:7" x14ac:dyDescent="0.25">
      <c r="G17" s="80"/>
    </row>
    <row r="18" spans="7:7" x14ac:dyDescent="0.25">
      <c r="G18" s="80"/>
    </row>
  </sheetData>
  <mergeCells count="2">
    <mergeCell ref="A2:G2"/>
    <mergeCell ref="J2:S2"/>
  </mergeCells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Y18"/>
  <sheetViews>
    <sheetView workbookViewId="0">
      <selection activeCell="N1" sqref="N1"/>
    </sheetView>
  </sheetViews>
  <sheetFormatPr defaultRowHeight="15" x14ac:dyDescent="0.25"/>
  <cols>
    <col min="1" max="1" width="12.85546875" customWidth="1"/>
    <col min="2" max="2" width="17.5703125" customWidth="1"/>
    <col min="3" max="3" width="11.42578125" customWidth="1"/>
    <col min="4" max="4" width="9.42578125" customWidth="1"/>
    <col min="5" max="5" width="11.85546875" customWidth="1"/>
    <col min="6" max="6" width="8.28515625" customWidth="1"/>
    <col min="7" max="7" width="11.5703125" customWidth="1"/>
    <col min="8" max="8" width="10.5703125" customWidth="1"/>
    <col min="9" max="9" width="10" customWidth="1"/>
    <col min="10" max="10" width="9.42578125" customWidth="1"/>
    <col min="11" max="11" width="10.28515625" customWidth="1"/>
    <col min="12" max="12" width="9.42578125" customWidth="1"/>
  </cols>
  <sheetData>
    <row r="1" spans="1:25" ht="27" customHeight="1" x14ac:dyDescent="0.25"/>
    <row r="2" spans="1:25" ht="38.25" customHeight="1" thickBot="1" x14ac:dyDescent="0.3">
      <c r="A2" s="1548" t="s">
        <v>440</v>
      </c>
      <c r="B2" s="1548"/>
      <c r="C2" s="1548"/>
      <c r="D2" s="1548"/>
      <c r="E2" s="1548"/>
      <c r="F2" s="1548"/>
      <c r="G2" s="1548"/>
      <c r="H2" s="1548"/>
      <c r="I2" s="1548"/>
      <c r="J2" s="1548"/>
      <c r="K2" s="1548"/>
      <c r="L2" s="1548"/>
      <c r="N2" s="1229" t="s">
        <v>441</v>
      </c>
      <c r="O2" s="1229"/>
      <c r="P2" s="1229"/>
      <c r="Q2" s="1229"/>
      <c r="R2" s="1229"/>
      <c r="S2" s="1229"/>
      <c r="T2" s="1229"/>
      <c r="U2" s="1229"/>
      <c r="V2" s="1229"/>
      <c r="W2" s="1229"/>
      <c r="X2" s="1229"/>
      <c r="Y2" s="1229"/>
    </row>
    <row r="3" spans="1:25" ht="45.75" customHeight="1" x14ac:dyDescent="0.25">
      <c r="A3" s="1554"/>
      <c r="B3" s="1555"/>
      <c r="C3" s="1549" t="s">
        <v>89</v>
      </c>
      <c r="D3" s="1550"/>
      <c r="E3" s="1551" t="s">
        <v>90</v>
      </c>
      <c r="F3" s="1552"/>
      <c r="G3" s="1553" t="s">
        <v>91</v>
      </c>
      <c r="H3" s="1550"/>
      <c r="I3" s="1551" t="s">
        <v>92</v>
      </c>
      <c r="J3" s="1552"/>
      <c r="K3" s="1553" t="s">
        <v>93</v>
      </c>
      <c r="L3" s="1552"/>
    </row>
    <row r="4" spans="1:25" ht="15.75" thickBot="1" x14ac:dyDescent="0.3">
      <c r="A4" s="1556"/>
      <c r="B4" s="1557"/>
      <c r="C4" s="729" t="s">
        <v>12</v>
      </c>
      <c r="D4" s="730" t="s">
        <v>11</v>
      </c>
      <c r="E4" s="731" t="s">
        <v>12</v>
      </c>
      <c r="F4" s="732" t="s">
        <v>11</v>
      </c>
      <c r="G4" s="733" t="s">
        <v>12</v>
      </c>
      <c r="H4" s="730" t="s">
        <v>11</v>
      </c>
      <c r="I4" s="731" t="s">
        <v>12</v>
      </c>
      <c r="J4" s="732" t="s">
        <v>11</v>
      </c>
      <c r="K4" s="733" t="s">
        <v>12</v>
      </c>
      <c r="L4" s="732" t="s">
        <v>11</v>
      </c>
    </row>
    <row r="5" spans="1:25" x14ac:dyDescent="0.25">
      <c r="A5" s="1542" t="s">
        <v>442</v>
      </c>
      <c r="B5" s="734" t="s">
        <v>94</v>
      </c>
      <c r="C5" s="735">
        <v>7.2</v>
      </c>
      <c r="D5" s="736">
        <v>3.2</v>
      </c>
      <c r="E5" s="737">
        <v>7.4</v>
      </c>
      <c r="F5" s="738">
        <v>5.9</v>
      </c>
      <c r="G5" s="739">
        <v>9.9</v>
      </c>
      <c r="H5" s="736">
        <v>2.6</v>
      </c>
      <c r="I5" s="737">
        <v>0</v>
      </c>
      <c r="J5" s="738">
        <v>2.6</v>
      </c>
      <c r="K5" s="739">
        <v>12.1</v>
      </c>
      <c r="L5" s="738">
        <v>8.3000000000000007</v>
      </c>
    </row>
    <row r="6" spans="1:25" x14ac:dyDescent="0.25">
      <c r="A6" s="1543"/>
      <c r="B6" s="740" t="s">
        <v>95</v>
      </c>
      <c r="C6" s="741">
        <v>17.100000000000001</v>
      </c>
      <c r="D6" s="742">
        <v>16.3</v>
      </c>
      <c r="E6" s="743">
        <v>16.8</v>
      </c>
      <c r="F6" s="744">
        <v>17.2</v>
      </c>
      <c r="G6" s="745">
        <v>11.8</v>
      </c>
      <c r="H6" s="742">
        <v>17.3</v>
      </c>
      <c r="I6" s="746">
        <v>0</v>
      </c>
      <c r="J6" s="744">
        <v>7.9</v>
      </c>
      <c r="K6" s="745">
        <v>23.3</v>
      </c>
      <c r="L6" s="744">
        <v>20.399999999999999</v>
      </c>
    </row>
    <row r="7" spans="1:25" x14ac:dyDescent="0.25">
      <c r="A7" s="1543"/>
      <c r="B7" s="740" t="s">
        <v>96</v>
      </c>
      <c r="C7" s="741">
        <v>50.2</v>
      </c>
      <c r="D7" s="742">
        <v>49</v>
      </c>
      <c r="E7" s="743">
        <v>34.799999999999997</v>
      </c>
      <c r="F7" s="744">
        <v>52</v>
      </c>
      <c r="G7" s="745">
        <v>49.2</v>
      </c>
      <c r="H7" s="742">
        <v>55.9</v>
      </c>
      <c r="I7" s="746">
        <v>0</v>
      </c>
      <c r="J7" s="744">
        <v>42.2</v>
      </c>
      <c r="K7" s="745">
        <v>42.1</v>
      </c>
      <c r="L7" s="744">
        <v>47.2</v>
      </c>
    </row>
    <row r="8" spans="1:25" x14ac:dyDescent="0.25">
      <c r="A8" s="1543"/>
      <c r="B8" s="740" t="s">
        <v>97</v>
      </c>
      <c r="C8" s="741">
        <v>23</v>
      </c>
      <c r="D8" s="742">
        <v>29.1</v>
      </c>
      <c r="E8" s="743">
        <v>31.9</v>
      </c>
      <c r="F8" s="744">
        <v>20.399999999999999</v>
      </c>
      <c r="G8" s="745">
        <v>24.6</v>
      </c>
      <c r="H8" s="742">
        <v>20.5</v>
      </c>
      <c r="I8" s="746">
        <v>0</v>
      </c>
      <c r="J8" s="744">
        <v>39.799999999999997</v>
      </c>
      <c r="K8" s="745">
        <v>18.899999999999999</v>
      </c>
      <c r="L8" s="744">
        <v>19.600000000000001</v>
      </c>
    </row>
    <row r="9" spans="1:25" x14ac:dyDescent="0.25">
      <c r="A9" s="1544"/>
      <c r="B9" s="747" t="s">
        <v>98</v>
      </c>
      <c r="C9" s="748">
        <v>2.4</v>
      </c>
      <c r="D9" s="749">
        <v>2.5</v>
      </c>
      <c r="E9" s="750">
        <v>9.1999999999999993</v>
      </c>
      <c r="F9" s="751">
        <v>4.4000000000000004</v>
      </c>
      <c r="G9" s="752">
        <v>4.4000000000000004</v>
      </c>
      <c r="H9" s="749">
        <v>3.7</v>
      </c>
      <c r="I9" s="753">
        <v>0</v>
      </c>
      <c r="J9" s="751">
        <v>7.5</v>
      </c>
      <c r="K9" s="752">
        <v>3.6</v>
      </c>
      <c r="L9" s="751">
        <v>4.5</v>
      </c>
    </row>
    <row r="10" spans="1:25" ht="15.75" thickBot="1" x14ac:dyDescent="0.3">
      <c r="A10" s="1545" t="s">
        <v>353</v>
      </c>
      <c r="B10" s="1546"/>
      <c r="C10" s="725">
        <v>842</v>
      </c>
      <c r="D10" s="726">
        <v>845</v>
      </c>
      <c r="E10" s="725">
        <v>133</v>
      </c>
      <c r="F10" s="728">
        <v>133</v>
      </c>
      <c r="G10" s="727">
        <v>188</v>
      </c>
      <c r="H10" s="726">
        <v>188</v>
      </c>
      <c r="I10" s="725">
        <v>11</v>
      </c>
      <c r="J10" s="728">
        <v>50</v>
      </c>
      <c r="K10" s="727">
        <v>777</v>
      </c>
      <c r="L10" s="724">
        <v>906</v>
      </c>
    </row>
    <row r="11" spans="1:25" ht="24.95" customHeight="1" x14ac:dyDescent="0.25">
      <c r="A11" s="1547"/>
      <c r="B11" s="1547"/>
      <c r="C11" s="1547"/>
      <c r="D11" s="1547"/>
      <c r="E11" s="1547"/>
      <c r="F11" s="1547"/>
      <c r="G11" s="1547"/>
      <c r="H11" s="1547"/>
      <c r="I11" s="1547"/>
      <c r="J11" s="1547"/>
      <c r="K11" s="1547"/>
      <c r="L11" s="1547"/>
    </row>
    <row r="12" spans="1:25" x14ac:dyDescent="0.25">
      <c r="A12" s="281"/>
    </row>
    <row r="13" spans="1:25" x14ac:dyDescent="0.25">
      <c r="C13" s="123"/>
      <c r="D13" s="123"/>
      <c r="E13" s="123"/>
      <c r="F13" s="123"/>
      <c r="G13" s="123"/>
      <c r="H13" s="123"/>
      <c r="I13" s="123"/>
      <c r="J13" s="123"/>
      <c r="K13" s="123"/>
      <c r="L13" s="123"/>
    </row>
    <row r="16" spans="1:25" ht="21.75" customHeight="1" x14ac:dyDescent="0.25">
      <c r="B16" s="338"/>
      <c r="C16" s="338"/>
      <c r="D16" s="338"/>
      <c r="E16" s="338"/>
      <c r="F16" s="338"/>
      <c r="G16" s="338"/>
      <c r="H16" s="338"/>
      <c r="I16" s="338"/>
      <c r="J16" s="338"/>
    </row>
    <row r="17" spans="2:10" ht="21.75" customHeight="1" x14ac:dyDescent="0.25">
      <c r="B17" s="338"/>
      <c r="C17" s="338"/>
      <c r="D17" s="338"/>
      <c r="E17" s="338"/>
      <c r="F17" s="338"/>
      <c r="G17" s="338"/>
      <c r="H17" s="338"/>
      <c r="I17" s="338"/>
      <c r="J17" s="338"/>
    </row>
    <row r="18" spans="2:10" ht="15.75" customHeight="1" x14ac:dyDescent="0.25"/>
  </sheetData>
  <mergeCells count="11">
    <mergeCell ref="N2:Y2"/>
    <mergeCell ref="A5:A9"/>
    <mergeCell ref="A10:B10"/>
    <mergeCell ref="A11:L11"/>
    <mergeCell ref="A2:L2"/>
    <mergeCell ref="C3:D3"/>
    <mergeCell ref="E3:F3"/>
    <mergeCell ref="G3:H3"/>
    <mergeCell ref="I3:J3"/>
    <mergeCell ref="K3:L3"/>
    <mergeCell ref="A3:B4"/>
  </mergeCells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0"/>
  <sheetViews>
    <sheetView workbookViewId="0">
      <selection activeCell="G1" sqref="G1"/>
    </sheetView>
  </sheetViews>
  <sheetFormatPr defaultRowHeight="15" x14ac:dyDescent="0.25"/>
  <cols>
    <col min="1" max="1" width="19.85546875" customWidth="1"/>
    <col min="2" max="2" width="24.5703125" customWidth="1"/>
    <col min="3" max="3" width="11.28515625" customWidth="1"/>
    <col min="4" max="4" width="10.85546875" customWidth="1"/>
    <col min="5" max="5" width="10.28515625" customWidth="1"/>
  </cols>
  <sheetData>
    <row r="1" spans="1:15" ht="25.5" customHeight="1" x14ac:dyDescent="0.25"/>
    <row r="2" spans="1:15" ht="35.25" customHeight="1" thickBot="1" x14ac:dyDescent="0.3">
      <c r="A2" s="1558" t="s">
        <v>437</v>
      </c>
      <c r="B2" s="1558"/>
      <c r="C2" s="1558"/>
      <c r="D2" s="1558"/>
      <c r="E2" s="1558"/>
      <c r="G2" s="1229" t="s">
        <v>439</v>
      </c>
      <c r="H2" s="1229"/>
      <c r="I2" s="1229"/>
      <c r="J2" s="1229"/>
      <c r="K2" s="1229"/>
      <c r="L2" s="1229"/>
      <c r="M2" s="1229"/>
      <c r="N2" s="1229"/>
      <c r="O2" s="1229"/>
    </row>
    <row r="3" spans="1:15" ht="31.5" customHeight="1" thickBot="1" x14ac:dyDescent="0.3">
      <c r="A3" s="1563"/>
      <c r="B3" s="1564"/>
      <c r="C3" s="756" t="s">
        <v>11</v>
      </c>
      <c r="D3" s="754" t="s">
        <v>12</v>
      </c>
      <c r="E3" s="755" t="s">
        <v>83</v>
      </c>
    </row>
    <row r="4" spans="1:15" ht="17.25" customHeight="1" x14ac:dyDescent="0.25">
      <c r="A4" s="1559" t="s">
        <v>438</v>
      </c>
      <c r="B4" s="1173" t="s">
        <v>84</v>
      </c>
      <c r="C4" s="757">
        <v>9.905117425105324</v>
      </c>
      <c r="D4" s="758">
        <v>7.1814529541555476</v>
      </c>
      <c r="E4" s="759">
        <v>8.5917794495807982</v>
      </c>
      <c r="G4" s="403"/>
      <c r="H4" s="403"/>
      <c r="I4" s="403"/>
      <c r="J4" s="403"/>
      <c r="K4" s="403"/>
      <c r="L4" s="403"/>
      <c r="M4" s="403"/>
      <c r="N4" s="403"/>
      <c r="O4" s="403"/>
    </row>
    <row r="5" spans="1:15" ht="17.25" customHeight="1" x14ac:dyDescent="0.25">
      <c r="A5" s="1560"/>
      <c r="B5" s="1174" t="s">
        <v>85</v>
      </c>
      <c r="C5" s="760">
        <v>37.0884382193249</v>
      </c>
      <c r="D5" s="761">
        <v>31.556377627194511</v>
      </c>
      <c r="E5" s="762">
        <v>34.420905071964064</v>
      </c>
      <c r="G5" s="403"/>
      <c r="H5" s="403"/>
      <c r="I5" s="403"/>
      <c r="J5" s="403"/>
      <c r="K5" s="403"/>
      <c r="L5" s="403"/>
      <c r="M5" s="403"/>
      <c r="N5" s="403"/>
      <c r="O5" s="403"/>
    </row>
    <row r="6" spans="1:15" ht="17.25" customHeight="1" x14ac:dyDescent="0.25">
      <c r="A6" s="1560"/>
      <c r="B6" s="1174" t="s">
        <v>86</v>
      </c>
      <c r="C6" s="760">
        <v>50.08563866073446</v>
      </c>
      <c r="D6" s="761">
        <v>58.270046875885697</v>
      </c>
      <c r="E6" s="762">
        <v>54.032121140789599</v>
      </c>
      <c r="G6" s="403"/>
      <c r="H6" s="403"/>
      <c r="I6" s="403"/>
      <c r="J6" s="403"/>
      <c r="K6" s="403"/>
      <c r="L6" s="403"/>
      <c r="M6" s="403"/>
      <c r="N6" s="403"/>
      <c r="O6" s="403"/>
    </row>
    <row r="7" spans="1:15" ht="17.25" customHeight="1" x14ac:dyDescent="0.25">
      <c r="A7" s="1560"/>
      <c r="B7" s="1174" t="s">
        <v>87</v>
      </c>
      <c r="C7" s="760">
        <v>2.5502215820297764</v>
      </c>
      <c r="D7" s="761">
        <v>2.4684192326528942</v>
      </c>
      <c r="E7" s="762">
        <v>2.5107768805734558</v>
      </c>
    </row>
    <row r="8" spans="1:15" ht="17.25" customHeight="1" thickBot="1" x14ac:dyDescent="0.3">
      <c r="A8" s="1561"/>
      <c r="B8" s="1175" t="s">
        <v>88</v>
      </c>
      <c r="C8" s="763">
        <v>0.37058411280588566</v>
      </c>
      <c r="D8" s="764">
        <v>0.52370331011168458</v>
      </c>
      <c r="E8" s="765">
        <v>0.44441745709201397</v>
      </c>
    </row>
    <row r="9" spans="1:15" x14ac:dyDescent="0.25">
      <c r="A9" s="1562"/>
      <c r="B9" s="1562"/>
      <c r="C9" s="1562"/>
      <c r="D9" s="1562"/>
      <c r="E9" s="1562"/>
    </row>
    <row r="10" spans="1:15" x14ac:dyDescent="0.25">
      <c r="A10" s="337"/>
      <c r="B10" s="336"/>
    </row>
  </sheetData>
  <mergeCells count="5">
    <mergeCell ref="A2:E2"/>
    <mergeCell ref="A4:A8"/>
    <mergeCell ref="A9:E9"/>
    <mergeCell ref="G2:O2"/>
    <mergeCell ref="A3:B3"/>
  </mergeCells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2:U61"/>
  <sheetViews>
    <sheetView workbookViewId="0">
      <selection activeCell="V14" sqref="V14"/>
    </sheetView>
  </sheetViews>
  <sheetFormatPr defaultRowHeight="15" x14ac:dyDescent="0.25"/>
  <cols>
    <col min="1" max="1" width="47.7109375" customWidth="1"/>
    <col min="2" max="3" width="10.7109375" customWidth="1"/>
    <col min="4" max="4" width="11.7109375" customWidth="1"/>
    <col min="5" max="5" width="10.28515625" customWidth="1"/>
    <col min="6" max="6" width="11.5703125" customWidth="1"/>
    <col min="7" max="7" width="10.85546875" customWidth="1"/>
    <col min="8" max="12" width="9.42578125" customWidth="1"/>
    <col min="13" max="13" width="10.42578125" customWidth="1"/>
  </cols>
  <sheetData>
    <row r="2" spans="1:21" ht="18" hidden="1" customHeight="1" x14ac:dyDescent="0.25">
      <c r="A2" s="1565" t="s">
        <v>354</v>
      </c>
      <c r="B2" s="1565"/>
      <c r="C2" s="1565"/>
      <c r="D2" s="1565"/>
      <c r="E2" s="1565"/>
      <c r="F2" s="1565"/>
      <c r="G2" s="1565"/>
      <c r="H2" s="1565"/>
      <c r="I2" s="1565"/>
      <c r="J2" s="1565"/>
      <c r="K2" s="1565"/>
      <c r="L2" s="1565"/>
      <c r="M2" s="1565"/>
    </row>
    <row r="3" spans="1:21" ht="15" hidden="1" customHeight="1" x14ac:dyDescent="0.25">
      <c r="A3" s="1575"/>
      <c r="B3" s="1572" t="s">
        <v>99</v>
      </c>
      <c r="C3" s="1573"/>
      <c r="D3" s="1574"/>
      <c r="E3" s="1568" t="s">
        <v>100</v>
      </c>
      <c r="F3" s="1569"/>
      <c r="G3" s="1571"/>
      <c r="H3" s="1568" t="s">
        <v>82</v>
      </c>
      <c r="I3" s="1569"/>
      <c r="J3" s="1571"/>
      <c r="K3" s="1568" t="s">
        <v>83</v>
      </c>
      <c r="L3" s="1569"/>
      <c r="M3" s="1570"/>
    </row>
    <row r="4" spans="1:21" ht="15" hidden="1" customHeight="1" x14ac:dyDescent="0.25">
      <c r="A4" s="1576"/>
      <c r="B4" s="124" t="s">
        <v>101</v>
      </c>
      <c r="C4" s="125" t="s">
        <v>102</v>
      </c>
      <c r="D4" s="125" t="s">
        <v>103</v>
      </c>
      <c r="E4" s="125" t="s">
        <v>101</v>
      </c>
      <c r="F4" s="125" t="s">
        <v>102</v>
      </c>
      <c r="G4" s="125" t="s">
        <v>103</v>
      </c>
      <c r="H4" s="125" t="s">
        <v>101</v>
      </c>
      <c r="I4" s="125" t="s">
        <v>102</v>
      </c>
      <c r="J4" s="125" t="s">
        <v>103</v>
      </c>
      <c r="K4" s="125" t="s">
        <v>101</v>
      </c>
      <c r="L4" s="125" t="s">
        <v>102</v>
      </c>
      <c r="M4" s="126" t="s">
        <v>103</v>
      </c>
    </row>
    <row r="5" spans="1:21" ht="15" hidden="1" customHeight="1" x14ac:dyDescent="0.25">
      <c r="A5" s="127" t="s">
        <v>107</v>
      </c>
      <c r="B5" s="128">
        <v>503</v>
      </c>
      <c r="C5" s="129">
        <v>547</v>
      </c>
      <c r="D5" s="129">
        <v>1050</v>
      </c>
      <c r="E5" s="129">
        <v>1931</v>
      </c>
      <c r="F5" s="129">
        <v>1846</v>
      </c>
      <c r="G5" s="129">
        <v>3777</v>
      </c>
      <c r="H5" s="129">
        <v>1314</v>
      </c>
      <c r="I5" s="129">
        <v>974</v>
      </c>
      <c r="J5" s="129">
        <v>2288</v>
      </c>
      <c r="K5" s="129">
        <v>3748</v>
      </c>
      <c r="L5" s="129">
        <v>3367</v>
      </c>
      <c r="M5" s="130">
        <v>7115</v>
      </c>
    </row>
    <row r="6" spans="1:21" ht="27.95" hidden="1" customHeight="1" x14ac:dyDescent="0.25">
      <c r="A6" s="131" t="s">
        <v>108</v>
      </c>
      <c r="B6" s="132">
        <v>443.99999999999983</v>
      </c>
      <c r="C6" s="133">
        <v>458</v>
      </c>
      <c r="D6" s="133">
        <v>902.00000000000034</v>
      </c>
      <c r="E6" s="133">
        <v>1780.9999999999989</v>
      </c>
      <c r="F6" s="133">
        <v>1596.0000000000007</v>
      </c>
      <c r="G6" s="133">
        <v>3376.9999999999977</v>
      </c>
      <c r="H6" s="133">
        <v>859.00000000000091</v>
      </c>
      <c r="I6" s="133">
        <v>807.99999999999909</v>
      </c>
      <c r="J6" s="133">
        <v>1666.9999999999982</v>
      </c>
      <c r="K6" s="133">
        <v>3084.0000000000036</v>
      </c>
      <c r="L6" s="133">
        <v>2861.9999999999923</v>
      </c>
      <c r="M6" s="134">
        <v>5946.0000000000018</v>
      </c>
    </row>
    <row r="7" spans="1:21" ht="27.95" hidden="1" customHeight="1" x14ac:dyDescent="0.25">
      <c r="A7" s="131" t="s">
        <v>109</v>
      </c>
      <c r="B7" s="132">
        <v>111</v>
      </c>
      <c r="C7" s="133">
        <v>90.000000000000085</v>
      </c>
      <c r="D7" s="133">
        <v>201.00000000000003</v>
      </c>
      <c r="E7" s="133">
        <v>514.00000000000091</v>
      </c>
      <c r="F7" s="133">
        <v>431.00000000000023</v>
      </c>
      <c r="G7" s="133">
        <v>945.00000000000125</v>
      </c>
      <c r="H7" s="133">
        <v>268.00000000000017</v>
      </c>
      <c r="I7" s="133">
        <v>281.00000000000006</v>
      </c>
      <c r="J7" s="133">
        <v>549.00000000000171</v>
      </c>
      <c r="K7" s="133">
        <v>892.99999999999966</v>
      </c>
      <c r="L7" s="133">
        <v>802.00000000000011</v>
      </c>
      <c r="M7" s="134">
        <v>1695.0000000000018</v>
      </c>
    </row>
    <row r="8" spans="1:21" ht="27.95" hidden="1" customHeight="1" x14ac:dyDescent="0.25">
      <c r="A8" s="131" t="s">
        <v>110</v>
      </c>
      <c r="B8" s="132">
        <v>335.00000000000006</v>
      </c>
      <c r="C8" s="133">
        <v>439.00000000000045</v>
      </c>
      <c r="D8" s="133">
        <v>774.0000000000008</v>
      </c>
      <c r="E8" s="133">
        <v>1085.9999999999986</v>
      </c>
      <c r="F8" s="133">
        <v>1220.0000000000025</v>
      </c>
      <c r="G8" s="133">
        <v>2305.9999999999982</v>
      </c>
      <c r="H8" s="133">
        <v>742</v>
      </c>
      <c r="I8" s="133">
        <v>507.00000000000063</v>
      </c>
      <c r="J8" s="133">
        <v>1249</v>
      </c>
      <c r="K8" s="133">
        <v>2163.0000000000005</v>
      </c>
      <c r="L8" s="133">
        <v>2166.0000000000009</v>
      </c>
      <c r="M8" s="134">
        <v>4328.9999999999945</v>
      </c>
    </row>
    <row r="9" spans="1:21" ht="15" hidden="1" customHeight="1" x14ac:dyDescent="0.3">
      <c r="A9" s="135" t="s">
        <v>274</v>
      </c>
      <c r="B9" s="136">
        <v>503</v>
      </c>
      <c r="C9" s="137">
        <v>547</v>
      </c>
      <c r="D9" s="137">
        <v>1050</v>
      </c>
      <c r="E9" s="137">
        <v>1931</v>
      </c>
      <c r="F9" s="137">
        <v>1846</v>
      </c>
      <c r="G9" s="137">
        <v>3777</v>
      </c>
      <c r="H9" s="137">
        <v>1314</v>
      </c>
      <c r="I9" s="137">
        <v>974</v>
      </c>
      <c r="J9" s="137">
        <v>2288</v>
      </c>
      <c r="K9" s="137">
        <v>3748</v>
      </c>
      <c r="L9" s="137">
        <v>3367</v>
      </c>
      <c r="M9" s="138">
        <v>7115</v>
      </c>
    </row>
    <row r="10" spans="1:21" hidden="1" x14ac:dyDescent="0.25"/>
    <row r="12" spans="1:21" ht="1.5" customHeight="1" x14ac:dyDescent="0.25"/>
    <row r="13" spans="1:21" ht="7.5" customHeight="1" x14ac:dyDescent="0.25"/>
    <row r="14" spans="1:21" ht="33.75" customHeight="1" thickBot="1" x14ac:dyDescent="0.3">
      <c r="A14" s="1583" t="s">
        <v>641</v>
      </c>
      <c r="B14" s="1584"/>
      <c r="C14" s="1584"/>
      <c r="D14" s="1584"/>
      <c r="E14" s="1584"/>
      <c r="F14" s="1584"/>
      <c r="G14" s="1585"/>
      <c r="H14" s="148"/>
      <c r="I14" s="1449" t="s">
        <v>642</v>
      </c>
      <c r="J14" s="1586"/>
      <c r="K14" s="1586"/>
      <c r="L14" s="1586"/>
      <c r="M14" s="1586"/>
      <c r="N14" s="1586"/>
      <c r="O14" s="1586"/>
      <c r="P14" s="1586"/>
      <c r="Q14" s="1586"/>
      <c r="R14" s="1586"/>
      <c r="S14" s="1586"/>
      <c r="T14" s="1586"/>
      <c r="U14" s="149"/>
    </row>
    <row r="15" spans="1:21" ht="15" customHeight="1" x14ac:dyDescent="0.25">
      <c r="A15" s="1566"/>
      <c r="B15" s="1577" t="s">
        <v>105</v>
      </c>
      <c r="C15" s="1578"/>
      <c r="D15" s="1579" t="s">
        <v>106</v>
      </c>
      <c r="E15" s="1580"/>
      <c r="F15" s="1581" t="s">
        <v>13</v>
      </c>
      <c r="G15" s="1582"/>
    </row>
    <row r="16" spans="1:21" ht="15" customHeight="1" thickBot="1" x14ac:dyDescent="0.3">
      <c r="A16" s="1567"/>
      <c r="B16" s="767" t="s">
        <v>102</v>
      </c>
      <c r="C16" s="766" t="s">
        <v>101</v>
      </c>
      <c r="D16" s="767" t="s">
        <v>102</v>
      </c>
      <c r="E16" s="766" t="s">
        <v>101</v>
      </c>
      <c r="F16" s="767" t="s">
        <v>102</v>
      </c>
      <c r="G16" s="766" t="s">
        <v>101</v>
      </c>
    </row>
    <row r="17" spans="1:21" ht="18" customHeight="1" x14ac:dyDescent="0.25">
      <c r="A17" s="780" t="s">
        <v>107</v>
      </c>
      <c r="B17" s="768">
        <v>65.317160515639614</v>
      </c>
      <c r="C17" s="769">
        <v>65.155713421816856</v>
      </c>
      <c r="D17" s="770">
        <v>64.334231053446828</v>
      </c>
      <c r="E17" s="771">
        <v>63.909759484355</v>
      </c>
      <c r="F17" s="768">
        <v>66.663513226565968</v>
      </c>
      <c r="G17" s="769">
        <v>74.245385603649069</v>
      </c>
    </row>
    <row r="18" spans="1:21" ht="27.95" customHeight="1" x14ac:dyDescent="0.25">
      <c r="A18" s="781" t="s">
        <v>108</v>
      </c>
      <c r="B18" s="772">
        <v>13.848759957292527</v>
      </c>
      <c r="C18" s="773">
        <v>18.531927829147641</v>
      </c>
      <c r="D18" s="774">
        <v>18.894969985077914</v>
      </c>
      <c r="E18" s="775">
        <v>23.460597628587841</v>
      </c>
      <c r="F18" s="772">
        <v>25.816886483275763</v>
      </c>
      <c r="G18" s="773">
        <v>18.067424446764939</v>
      </c>
    </row>
    <row r="19" spans="1:21" ht="31.5" customHeight="1" x14ac:dyDescent="0.25">
      <c r="A19" s="781" t="s">
        <v>109</v>
      </c>
      <c r="B19" s="772">
        <v>1.4843679999590791</v>
      </c>
      <c r="C19" s="773">
        <v>2.8365966588031091</v>
      </c>
      <c r="D19" s="774">
        <v>1.9539539873012022</v>
      </c>
      <c r="E19" s="775">
        <v>2.1184115072093515</v>
      </c>
      <c r="F19" s="772">
        <v>2.2612196805513318</v>
      </c>
      <c r="G19" s="773">
        <v>1.5995039802871525</v>
      </c>
    </row>
    <row r="20" spans="1:21" ht="27" customHeight="1" thickBot="1" x14ac:dyDescent="0.3">
      <c r="A20" s="782" t="s">
        <v>110</v>
      </c>
      <c r="B20" s="776">
        <v>19.349711527108742</v>
      </c>
      <c r="C20" s="777">
        <v>13.475762090232434</v>
      </c>
      <c r="D20" s="778">
        <v>14.816844974174098</v>
      </c>
      <c r="E20" s="779">
        <v>10.511231379847802</v>
      </c>
      <c r="F20" s="776">
        <v>5.2583806096069505</v>
      </c>
      <c r="G20" s="777">
        <v>6.0876859692988425</v>
      </c>
    </row>
    <row r="22" spans="1:21" ht="15.75" customHeight="1" x14ac:dyDescent="0.25">
      <c r="B22" s="151"/>
      <c r="C22" s="151"/>
      <c r="D22" s="151"/>
      <c r="E22" s="151"/>
      <c r="F22" s="151"/>
      <c r="G22" s="151"/>
    </row>
    <row r="23" spans="1:21" x14ac:dyDescent="0.25">
      <c r="B23" s="1001"/>
      <c r="C23" s="1002"/>
      <c r="D23" s="1001"/>
      <c r="E23" s="1002"/>
      <c r="F23" s="1001"/>
      <c r="G23" s="1002"/>
    </row>
    <row r="24" spans="1:21" x14ac:dyDescent="0.25">
      <c r="B24" s="1003"/>
      <c r="C24" s="1003"/>
      <c r="D24" s="1003"/>
      <c r="E24" s="1003"/>
      <c r="F24" s="1003"/>
      <c r="G24" s="1003"/>
    </row>
    <row r="25" spans="1:21" x14ac:dyDescent="0.25">
      <c r="B25" s="1003"/>
      <c r="C25" s="1003"/>
      <c r="D25" s="1003"/>
      <c r="E25" s="1003"/>
      <c r="F25" s="1003"/>
      <c r="G25" s="1003"/>
    </row>
    <row r="26" spans="1:21" x14ac:dyDescent="0.25">
      <c r="B26" s="1003"/>
      <c r="C26" s="1003"/>
      <c r="D26" s="1003"/>
      <c r="E26" s="1003"/>
      <c r="F26" s="1003"/>
      <c r="G26" s="1003"/>
    </row>
    <row r="27" spans="1:21" x14ac:dyDescent="0.25">
      <c r="B27" s="1003"/>
      <c r="C27" s="1003"/>
      <c r="D27" s="1003"/>
      <c r="E27" s="1003"/>
      <c r="F27" s="1003"/>
      <c r="G27" s="1003"/>
    </row>
    <row r="28" spans="1:21" ht="19.5" customHeight="1" x14ac:dyDescent="0.25"/>
    <row r="30" spans="1:21" s="149" customFormat="1" ht="15.75" customHeight="1" x14ac:dyDescent="0.25">
      <c r="A30"/>
      <c r="B30" s="77"/>
      <c r="C30" s="77"/>
      <c r="D30" s="77"/>
      <c r="E30" s="77"/>
      <c r="F30" s="77"/>
      <c r="G30" s="77"/>
      <c r="H30"/>
      <c r="I30"/>
      <c r="J30"/>
      <c r="K30"/>
      <c r="L30"/>
      <c r="M30"/>
      <c r="N30"/>
      <c r="O30"/>
      <c r="P30"/>
      <c r="Q30"/>
      <c r="R30"/>
      <c r="S30"/>
      <c r="T30"/>
      <c r="U30"/>
    </row>
    <row r="31" spans="1:21" ht="15.75" customHeight="1" x14ac:dyDescent="0.25">
      <c r="B31" s="77"/>
      <c r="C31" s="77"/>
      <c r="D31" s="77"/>
      <c r="E31" s="77"/>
      <c r="F31" s="77"/>
      <c r="G31" s="77"/>
    </row>
    <row r="32" spans="1:21" x14ac:dyDescent="0.25">
      <c r="B32" s="77"/>
      <c r="C32" s="77"/>
      <c r="D32" s="77"/>
      <c r="E32" s="77"/>
      <c r="F32" s="77"/>
      <c r="G32" s="77"/>
    </row>
    <row r="33" spans="2:7" x14ac:dyDescent="0.25">
      <c r="B33" s="77"/>
      <c r="C33" s="77"/>
      <c r="D33" s="77"/>
      <c r="E33" s="77"/>
      <c r="F33" s="77"/>
      <c r="G33" s="77"/>
    </row>
    <row r="43" spans="2:7" ht="45" customHeight="1" x14ac:dyDescent="0.25"/>
    <row r="44" spans="2:7" ht="15" customHeight="1" x14ac:dyDescent="0.25"/>
    <row r="45" spans="2:7" ht="15" customHeight="1" x14ac:dyDescent="0.25"/>
    <row r="46" spans="2:7" ht="15" customHeight="1" x14ac:dyDescent="0.25"/>
    <row r="47" spans="2:7" ht="27.95" customHeight="1" x14ac:dyDescent="0.25"/>
    <row r="48" spans="2:7" ht="27.95" customHeight="1" x14ac:dyDescent="0.25"/>
    <row r="49" ht="27.95" customHeight="1" x14ac:dyDescent="0.25"/>
    <row r="50" ht="15" customHeight="1" x14ac:dyDescent="0.25"/>
    <row r="54" ht="30" customHeight="1" x14ac:dyDescent="0.25"/>
    <row r="55" ht="15" customHeight="1" x14ac:dyDescent="0.25"/>
    <row r="56" ht="15" customHeight="1" x14ac:dyDescent="0.25"/>
    <row r="57" ht="15" customHeight="1" x14ac:dyDescent="0.25"/>
    <row r="58" ht="27.95" customHeight="1" x14ac:dyDescent="0.25"/>
    <row r="59" ht="27.95" customHeight="1" x14ac:dyDescent="0.25"/>
    <row r="60" ht="27.95" customHeight="1" x14ac:dyDescent="0.25"/>
    <row r="61" ht="15" customHeight="1" x14ac:dyDescent="0.25"/>
  </sheetData>
  <mergeCells count="12">
    <mergeCell ref="A2:M2"/>
    <mergeCell ref="A15:A16"/>
    <mergeCell ref="K3:M3"/>
    <mergeCell ref="H3:J3"/>
    <mergeCell ref="E3:G3"/>
    <mergeCell ref="B3:D3"/>
    <mergeCell ref="A3:A4"/>
    <mergeCell ref="B15:C15"/>
    <mergeCell ref="D15:E15"/>
    <mergeCell ref="F15:G15"/>
    <mergeCell ref="A14:G14"/>
    <mergeCell ref="I14:T14"/>
  </mergeCells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3:V15"/>
  <sheetViews>
    <sheetView workbookViewId="0">
      <selection activeCell="K2" sqref="K2"/>
    </sheetView>
  </sheetViews>
  <sheetFormatPr defaultRowHeight="15" x14ac:dyDescent="0.25"/>
  <cols>
    <col min="1" max="1" width="37.140625" bestFit="1" customWidth="1"/>
    <col min="2" max="2" width="10.140625" customWidth="1"/>
    <col min="3" max="3" width="11.7109375" customWidth="1"/>
    <col min="4" max="4" width="10.7109375" customWidth="1"/>
    <col min="5" max="5" width="11.28515625" customWidth="1"/>
    <col min="6" max="6" width="10.7109375" customWidth="1"/>
    <col min="7" max="7" width="11.140625" customWidth="1"/>
    <col min="8" max="9" width="10.7109375" customWidth="1"/>
    <col min="10" max="10" width="7.85546875" customWidth="1"/>
  </cols>
  <sheetData>
    <row r="3" spans="1:22" ht="38.25" customHeight="1" thickBot="1" x14ac:dyDescent="0.3">
      <c r="A3" s="1594" t="s">
        <v>644</v>
      </c>
      <c r="B3" s="1594"/>
      <c r="C3" s="1594"/>
      <c r="D3" s="1594"/>
      <c r="E3" s="1594"/>
      <c r="F3" s="1594"/>
      <c r="G3" s="1594"/>
      <c r="H3" s="1594"/>
      <c r="I3" s="1594"/>
      <c r="K3" s="1229" t="s">
        <v>645</v>
      </c>
      <c r="L3" s="1229"/>
      <c r="M3" s="1229"/>
      <c r="N3" s="1229"/>
      <c r="O3" s="1229"/>
      <c r="P3" s="1229"/>
      <c r="Q3" s="1229"/>
      <c r="R3" s="1229"/>
      <c r="S3" s="1229"/>
      <c r="T3" s="1229"/>
      <c r="U3" s="1229"/>
      <c r="V3" s="1229"/>
    </row>
    <row r="4" spans="1:22" ht="15" customHeight="1" x14ac:dyDescent="0.25">
      <c r="A4" s="1591"/>
      <c r="B4" s="1593" t="s">
        <v>99</v>
      </c>
      <c r="C4" s="1590"/>
      <c r="D4" s="1587" t="s">
        <v>100</v>
      </c>
      <c r="E4" s="1588"/>
      <c r="F4" s="1589" t="s">
        <v>82</v>
      </c>
      <c r="G4" s="1590"/>
      <c r="H4" s="1595" t="s">
        <v>83</v>
      </c>
      <c r="I4" s="1596"/>
    </row>
    <row r="5" spans="1:22" ht="15" customHeight="1" thickBot="1" x14ac:dyDescent="0.3">
      <c r="A5" s="1592"/>
      <c r="B5" s="793" t="s">
        <v>101</v>
      </c>
      <c r="C5" s="794" t="s">
        <v>102</v>
      </c>
      <c r="D5" s="788" t="s">
        <v>101</v>
      </c>
      <c r="E5" s="803" t="s">
        <v>102</v>
      </c>
      <c r="F5" s="813" t="s">
        <v>101</v>
      </c>
      <c r="G5" s="794" t="s">
        <v>102</v>
      </c>
      <c r="H5" s="808" t="s">
        <v>101</v>
      </c>
      <c r="I5" s="784" t="s">
        <v>102</v>
      </c>
    </row>
    <row r="6" spans="1:22" ht="15" customHeight="1" x14ac:dyDescent="0.25">
      <c r="A6" s="817" t="s">
        <v>334</v>
      </c>
      <c r="B6" s="795">
        <v>14.687797772209983</v>
      </c>
      <c r="C6" s="796">
        <v>10.243183096666204</v>
      </c>
      <c r="D6" s="789">
        <v>60.009796081225346</v>
      </c>
      <c r="E6" s="804">
        <v>53.933451915546357</v>
      </c>
      <c r="F6" s="814">
        <v>34.213397392825122</v>
      </c>
      <c r="G6" s="796">
        <v>67.667541546030407</v>
      </c>
      <c r="H6" s="809">
        <v>45.046705387620236</v>
      </c>
      <c r="I6" s="785">
        <v>48.237845754260164</v>
      </c>
    </row>
    <row r="7" spans="1:22" ht="28.5" customHeight="1" x14ac:dyDescent="0.25">
      <c r="A7" s="818" t="s">
        <v>335</v>
      </c>
      <c r="B7" s="797">
        <v>16.075530568702593</v>
      </c>
      <c r="C7" s="798">
        <v>8.0456864255912741</v>
      </c>
      <c r="D7" s="790">
        <v>26.62987200638608</v>
      </c>
      <c r="E7" s="805">
        <v>14.676562958488972</v>
      </c>
      <c r="F7" s="815">
        <v>3.0995497907878935</v>
      </c>
      <c r="G7" s="798">
        <v>3.2417120567989834</v>
      </c>
      <c r="H7" s="810">
        <v>18.26617967301955</v>
      </c>
      <c r="I7" s="786">
        <v>10.777674898995203</v>
      </c>
    </row>
    <row r="8" spans="1:22" ht="15" customHeight="1" x14ac:dyDescent="0.25">
      <c r="A8" s="819" t="s">
        <v>359</v>
      </c>
      <c r="B8" s="799">
        <v>100</v>
      </c>
      <c r="C8" s="800">
        <v>100</v>
      </c>
      <c r="D8" s="791">
        <v>100</v>
      </c>
      <c r="E8" s="806">
        <v>100</v>
      </c>
      <c r="F8" s="816">
        <v>100</v>
      </c>
      <c r="G8" s="800">
        <v>100</v>
      </c>
      <c r="H8" s="811">
        <v>100</v>
      </c>
      <c r="I8" s="787">
        <v>100</v>
      </c>
    </row>
    <row r="9" spans="1:22" ht="15" customHeight="1" thickBot="1" x14ac:dyDescent="0.3">
      <c r="A9" s="820" t="s">
        <v>274</v>
      </c>
      <c r="B9" s="801">
        <v>503</v>
      </c>
      <c r="C9" s="802">
        <v>547</v>
      </c>
      <c r="D9" s="792">
        <v>1931</v>
      </c>
      <c r="E9" s="807">
        <v>1846</v>
      </c>
      <c r="F9" s="801">
        <v>1314</v>
      </c>
      <c r="G9" s="802">
        <v>974</v>
      </c>
      <c r="H9" s="812">
        <v>3748</v>
      </c>
      <c r="I9" s="783">
        <v>3367</v>
      </c>
    </row>
    <row r="11" spans="1:22" ht="15.75" thickBot="1" x14ac:dyDescent="0.3"/>
    <row r="12" spans="1:22" x14ac:dyDescent="0.25">
      <c r="A12" s="1591"/>
      <c r="B12" s="1593" t="s">
        <v>99</v>
      </c>
      <c r="C12" s="1590"/>
      <c r="D12" s="1587" t="s">
        <v>100</v>
      </c>
      <c r="E12" s="1588"/>
      <c r="F12" s="1589" t="s">
        <v>82</v>
      </c>
      <c r="G12" s="1590"/>
      <c r="H12" s="1587" t="s">
        <v>83</v>
      </c>
      <c r="I12" s="1590"/>
    </row>
    <row r="13" spans="1:22" ht="15.75" thickBot="1" x14ac:dyDescent="0.3">
      <c r="A13" s="1592"/>
      <c r="B13" s="793" t="s">
        <v>101</v>
      </c>
      <c r="C13" s="794" t="s">
        <v>102</v>
      </c>
      <c r="D13" s="824" t="s">
        <v>101</v>
      </c>
      <c r="E13" s="803" t="s">
        <v>102</v>
      </c>
      <c r="F13" s="793" t="s">
        <v>101</v>
      </c>
      <c r="G13" s="794" t="s">
        <v>102</v>
      </c>
      <c r="H13" s="824" t="s">
        <v>101</v>
      </c>
      <c r="I13" s="794" t="s">
        <v>102</v>
      </c>
    </row>
    <row r="14" spans="1:22" x14ac:dyDescent="0.25">
      <c r="A14" s="817" t="s">
        <v>334</v>
      </c>
      <c r="B14" s="827">
        <v>14.687797772209983</v>
      </c>
      <c r="C14" s="828">
        <v>10.243183096666204</v>
      </c>
      <c r="D14" s="825">
        <v>60.009796081225346</v>
      </c>
      <c r="E14" s="831">
        <v>53.933451915546357</v>
      </c>
      <c r="F14" s="835">
        <v>34.213397392825122</v>
      </c>
      <c r="G14" s="828">
        <v>67.667541546030407</v>
      </c>
      <c r="H14" s="833">
        <v>45.046705387620236</v>
      </c>
      <c r="I14" s="821">
        <v>48.237845754260164</v>
      </c>
    </row>
    <row r="15" spans="1:22" ht="24.75" thickBot="1" x14ac:dyDescent="0.3">
      <c r="A15" s="823" t="s">
        <v>335</v>
      </c>
      <c r="B15" s="829">
        <v>16.075530568702593</v>
      </c>
      <c r="C15" s="830">
        <v>8.0456864255912741</v>
      </c>
      <c r="D15" s="826">
        <v>26.62987200638608</v>
      </c>
      <c r="E15" s="832">
        <v>14.676562958488972</v>
      </c>
      <c r="F15" s="836">
        <v>3.0995497907878935</v>
      </c>
      <c r="G15" s="830">
        <v>3.2417120567989834</v>
      </c>
      <c r="H15" s="834">
        <v>18.26617967301955</v>
      </c>
      <c r="I15" s="822">
        <v>10.777674898995203</v>
      </c>
    </row>
  </sheetData>
  <mergeCells count="12">
    <mergeCell ref="K3:V3"/>
    <mergeCell ref="A3:I3"/>
    <mergeCell ref="A4:A5"/>
    <mergeCell ref="B4:C4"/>
    <mergeCell ref="D4:E4"/>
    <mergeCell ref="F4:G4"/>
    <mergeCell ref="H4:I4"/>
    <mergeCell ref="D12:E12"/>
    <mergeCell ref="F12:G12"/>
    <mergeCell ref="H12:I12"/>
    <mergeCell ref="A12:A13"/>
    <mergeCell ref="B12:C12"/>
  </mergeCells>
  <pageMargins left="0.7" right="0.7" top="0.75" bottom="0.75" header="0.3" footer="0.3"/>
  <pageSetup orientation="portrait" horizontalDpi="0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G13"/>
  <sheetViews>
    <sheetView workbookViewId="0"/>
  </sheetViews>
  <sheetFormatPr defaultRowHeight="15" x14ac:dyDescent="0.25"/>
  <cols>
    <col min="1" max="1" width="19.28515625" customWidth="1"/>
    <col min="2" max="2" width="16.28515625" customWidth="1"/>
    <col min="3" max="3" width="16.7109375" customWidth="1"/>
    <col min="4" max="4" width="2.28515625" customWidth="1"/>
    <col min="5" max="5" width="13.5703125" customWidth="1"/>
    <col min="6" max="6" width="15.85546875" customWidth="1"/>
  </cols>
  <sheetData>
    <row r="1" spans="1:7" ht="24.75" customHeight="1" x14ac:dyDescent="0.25"/>
    <row r="2" spans="1:7" x14ac:dyDescent="0.25">
      <c r="A2" s="1225" t="s">
        <v>647</v>
      </c>
      <c r="B2" s="1225"/>
      <c r="C2" s="1225"/>
      <c r="D2" s="1225"/>
      <c r="E2" s="1225"/>
      <c r="F2" s="1225"/>
    </row>
    <row r="3" spans="1:7" x14ac:dyDescent="0.25">
      <c r="A3" s="1225"/>
      <c r="B3" s="1225"/>
      <c r="C3" s="1225"/>
      <c r="D3" s="1225"/>
      <c r="E3" s="1225"/>
      <c r="F3" s="1225"/>
    </row>
    <row r="4" spans="1:7" ht="6.75" customHeight="1" x14ac:dyDescent="0.25">
      <c r="A4" s="1225"/>
      <c r="B4" s="1225"/>
      <c r="C4" s="1225"/>
      <c r="D4" s="1225"/>
      <c r="E4" s="1225"/>
      <c r="F4" s="1225"/>
    </row>
    <row r="6" spans="1:7" x14ac:dyDescent="0.25">
      <c r="A6" s="139"/>
      <c r="B6" s="1597" t="s">
        <v>111</v>
      </c>
      <c r="C6" s="1597"/>
      <c r="D6" s="846"/>
      <c r="E6" s="1597" t="s">
        <v>112</v>
      </c>
      <c r="F6" s="1597"/>
      <c r="G6" s="139"/>
    </row>
    <row r="7" spans="1:7" ht="17.25" customHeight="1" thickBot="1" x14ac:dyDescent="0.3">
      <c r="A7" s="841"/>
      <c r="B7" s="837" t="s">
        <v>101</v>
      </c>
      <c r="C7" s="837" t="s">
        <v>102</v>
      </c>
      <c r="D7" s="842"/>
      <c r="E7" s="837" t="s">
        <v>101</v>
      </c>
      <c r="F7" s="837" t="s">
        <v>102</v>
      </c>
      <c r="G7" s="139"/>
    </row>
    <row r="8" spans="1:7" ht="18" customHeight="1" x14ac:dyDescent="0.25">
      <c r="A8" s="840" t="s">
        <v>113</v>
      </c>
      <c r="B8" s="838" t="s">
        <v>416</v>
      </c>
      <c r="C8" s="843" t="s">
        <v>422</v>
      </c>
      <c r="D8" s="847"/>
      <c r="E8" s="838" t="s">
        <v>427</v>
      </c>
      <c r="F8" s="843" t="s">
        <v>432</v>
      </c>
      <c r="G8" s="139"/>
    </row>
    <row r="9" spans="1:7" ht="18" customHeight="1" x14ac:dyDescent="0.25">
      <c r="A9" s="139" t="s">
        <v>114</v>
      </c>
      <c r="B9" s="402" t="s">
        <v>417</v>
      </c>
      <c r="C9" s="844" t="s">
        <v>423</v>
      </c>
      <c r="D9" s="842"/>
      <c r="E9" s="402" t="s">
        <v>428</v>
      </c>
      <c r="F9" s="844" t="s">
        <v>433</v>
      </c>
      <c r="G9" s="140"/>
    </row>
    <row r="10" spans="1:7" ht="18" customHeight="1" x14ac:dyDescent="0.25">
      <c r="A10" s="139" t="s">
        <v>115</v>
      </c>
      <c r="B10" s="402" t="s">
        <v>418</v>
      </c>
      <c r="C10" s="844" t="s">
        <v>424</v>
      </c>
      <c r="D10" s="842"/>
      <c r="E10" s="402" t="s">
        <v>429</v>
      </c>
      <c r="F10" s="844" t="s">
        <v>434</v>
      </c>
      <c r="G10" s="140"/>
    </row>
    <row r="11" spans="1:7" ht="18" customHeight="1" x14ac:dyDescent="0.25">
      <c r="A11" s="139" t="s">
        <v>116</v>
      </c>
      <c r="B11" s="402" t="s">
        <v>419</v>
      </c>
      <c r="C11" s="844" t="s">
        <v>425</v>
      </c>
      <c r="D11" s="842"/>
      <c r="E11" s="402" t="s">
        <v>430</v>
      </c>
      <c r="F11" s="844" t="s">
        <v>435</v>
      </c>
      <c r="G11" s="140"/>
    </row>
    <row r="12" spans="1:7" ht="18" customHeight="1" x14ac:dyDescent="0.25">
      <c r="A12" s="139" t="s">
        <v>117</v>
      </c>
      <c r="B12" s="402" t="s">
        <v>420</v>
      </c>
      <c r="C12" s="844" t="s">
        <v>426</v>
      </c>
      <c r="D12" s="842"/>
      <c r="E12" s="402" t="s">
        <v>431</v>
      </c>
      <c r="F12" s="844" t="s">
        <v>436</v>
      </c>
      <c r="G12" s="140"/>
    </row>
    <row r="13" spans="1:7" ht="18" customHeight="1" thickBot="1" x14ac:dyDescent="0.3">
      <c r="A13" s="841" t="s">
        <v>118</v>
      </c>
      <c r="B13" s="839" t="s">
        <v>421</v>
      </c>
      <c r="C13" s="845" t="s">
        <v>421</v>
      </c>
      <c r="D13" s="848"/>
      <c r="E13" s="839" t="s">
        <v>5</v>
      </c>
      <c r="F13" s="845" t="s">
        <v>421</v>
      </c>
      <c r="G13" s="140"/>
    </row>
  </sheetData>
  <mergeCells count="3">
    <mergeCell ref="B6:C6"/>
    <mergeCell ref="E6:F6"/>
    <mergeCell ref="A2:F4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G17"/>
  <sheetViews>
    <sheetView workbookViewId="0">
      <selection activeCell="H1" sqref="H1"/>
    </sheetView>
  </sheetViews>
  <sheetFormatPr defaultRowHeight="15" x14ac:dyDescent="0.25"/>
  <cols>
    <col min="1" max="1" width="48.42578125" style="146" customWidth="1"/>
    <col min="3" max="3" width="12.5703125" customWidth="1"/>
    <col min="4" max="4" width="3.140625" customWidth="1"/>
    <col min="5" max="6" width="10.85546875" customWidth="1"/>
  </cols>
  <sheetData>
    <row r="1" spans="1:7" ht="19.5" customHeight="1" x14ac:dyDescent="0.25"/>
    <row r="2" spans="1:7" ht="36.75" customHeight="1" x14ac:dyDescent="0.25">
      <c r="A2" s="1225" t="s">
        <v>584</v>
      </c>
      <c r="B2" s="1225"/>
      <c r="C2" s="1225"/>
      <c r="D2" s="1225"/>
      <c r="E2" s="1225"/>
      <c r="F2" s="1225"/>
    </row>
    <row r="3" spans="1:7" x14ac:dyDescent="0.25">
      <c r="A3" s="144"/>
      <c r="B3" s="1223" t="s">
        <v>581</v>
      </c>
      <c r="C3" s="1223"/>
      <c r="D3" s="486"/>
      <c r="E3" s="1224" t="s">
        <v>582</v>
      </c>
      <c r="F3" s="1224"/>
    </row>
    <row r="4" spans="1:7" ht="15" customHeight="1" thickBot="1" x14ac:dyDescent="0.3">
      <c r="A4" s="139"/>
      <c r="B4" s="487" t="s">
        <v>101</v>
      </c>
      <c r="C4" s="487" t="s">
        <v>102</v>
      </c>
      <c r="D4" s="478"/>
      <c r="E4" s="488" t="s">
        <v>101</v>
      </c>
      <c r="F4" s="488" t="s">
        <v>102</v>
      </c>
      <c r="G4" s="477"/>
    </row>
    <row r="5" spans="1:7" ht="18.75" customHeight="1" x14ac:dyDescent="0.25">
      <c r="A5" s="479" t="s">
        <v>119</v>
      </c>
      <c r="B5" s="480"/>
      <c r="C5" s="480"/>
      <c r="D5" s="480"/>
      <c r="E5" s="480"/>
      <c r="F5" s="480"/>
      <c r="G5" s="415"/>
    </row>
    <row r="6" spans="1:7" ht="36" customHeight="1" x14ac:dyDescent="0.25">
      <c r="A6" s="481" t="s">
        <v>579</v>
      </c>
      <c r="B6" s="482" t="s">
        <v>585</v>
      </c>
      <c r="C6" s="482" t="s">
        <v>586</v>
      </c>
      <c r="D6" s="483"/>
      <c r="E6" s="482" t="s">
        <v>427</v>
      </c>
      <c r="F6" s="482" t="s">
        <v>432</v>
      </c>
      <c r="G6" s="142"/>
    </row>
    <row r="7" spans="1:7" ht="8.25" customHeight="1" x14ac:dyDescent="0.25">
      <c r="A7" s="481"/>
      <c r="B7" s="489"/>
      <c r="C7" s="489"/>
      <c r="D7" s="489"/>
      <c r="E7" s="489"/>
      <c r="F7" s="489"/>
      <c r="G7" s="143"/>
    </row>
    <row r="8" spans="1:7" x14ac:dyDescent="0.25">
      <c r="A8" s="484" t="s">
        <v>120</v>
      </c>
      <c r="B8" s="489"/>
      <c r="C8" s="489"/>
      <c r="D8" s="489"/>
      <c r="E8" s="489"/>
      <c r="F8" s="489"/>
      <c r="G8" s="143"/>
    </row>
    <row r="9" spans="1:7" ht="32.25" customHeight="1" x14ac:dyDescent="0.25">
      <c r="A9" s="481" t="s">
        <v>583</v>
      </c>
      <c r="B9" s="489">
        <v>100</v>
      </c>
      <c r="C9" s="489">
        <v>100</v>
      </c>
      <c r="D9" s="489"/>
      <c r="E9" s="489">
        <v>33</v>
      </c>
      <c r="F9" s="489">
        <v>48</v>
      </c>
      <c r="G9" s="1226"/>
    </row>
    <row r="10" spans="1:7" ht="11.25" customHeight="1" x14ac:dyDescent="0.25">
      <c r="A10" s="481"/>
      <c r="B10" s="489"/>
      <c r="C10" s="489"/>
      <c r="D10" s="489"/>
      <c r="E10" s="489"/>
      <c r="F10" s="489"/>
      <c r="G10" s="1226"/>
    </row>
    <row r="11" spans="1:7" x14ac:dyDescent="0.25">
      <c r="A11" s="484" t="s">
        <v>121</v>
      </c>
      <c r="B11" s="489"/>
      <c r="C11" s="489"/>
      <c r="D11" s="489"/>
      <c r="E11" s="489"/>
      <c r="F11" s="489"/>
      <c r="G11" s="143"/>
    </row>
    <row r="12" spans="1:7" ht="24" x14ac:dyDescent="0.25">
      <c r="A12" s="481" t="s">
        <v>580</v>
      </c>
      <c r="B12" s="482" t="s">
        <v>585</v>
      </c>
      <c r="C12" s="482" t="s">
        <v>586</v>
      </c>
      <c r="D12" s="1227"/>
      <c r="E12" s="482" t="s">
        <v>535</v>
      </c>
      <c r="F12" s="482" t="s">
        <v>538</v>
      </c>
      <c r="G12" s="1226"/>
    </row>
    <row r="13" spans="1:7" ht="12" customHeight="1" thickBot="1" x14ac:dyDescent="0.3">
      <c r="A13" s="485"/>
      <c r="B13" s="490"/>
      <c r="C13" s="490"/>
      <c r="D13" s="1228"/>
      <c r="E13" s="490"/>
      <c r="F13" s="490"/>
      <c r="G13" s="1226"/>
    </row>
    <row r="14" spans="1:7" x14ac:dyDescent="0.25">
      <c r="A14" s="145"/>
    </row>
    <row r="15" spans="1:7" x14ac:dyDescent="0.25">
      <c r="A15" s="145"/>
    </row>
    <row r="16" spans="1:7" x14ac:dyDescent="0.25">
      <c r="A16" s="145"/>
    </row>
    <row r="17" spans="1:1" x14ac:dyDescent="0.25">
      <c r="A17" s="145"/>
    </row>
  </sheetData>
  <mergeCells count="6">
    <mergeCell ref="B3:C3"/>
    <mergeCell ref="E3:F3"/>
    <mergeCell ref="A2:F2"/>
    <mergeCell ref="G12:G13"/>
    <mergeCell ref="G9:G10"/>
    <mergeCell ref="D12:D13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162"/>
  <sheetViews>
    <sheetView zoomScaleNormal="100" workbookViewId="0"/>
  </sheetViews>
  <sheetFormatPr defaultRowHeight="15" x14ac:dyDescent="0.25"/>
  <cols>
    <col min="1" max="1" width="21.85546875" style="339" customWidth="1"/>
    <col min="2" max="2" width="26.7109375" style="339" customWidth="1"/>
    <col min="3" max="3" width="12.85546875" style="339" customWidth="1"/>
    <col min="4" max="4" width="13.7109375" style="339" customWidth="1"/>
    <col min="5" max="5" width="12.140625" style="339" customWidth="1"/>
    <col min="6" max="6" width="1.7109375" style="339" customWidth="1"/>
    <col min="7" max="7" width="12.42578125" style="339" customWidth="1"/>
    <col min="8" max="8" width="13.140625" style="339" customWidth="1"/>
    <col min="9" max="9" width="11.28515625" style="339" customWidth="1"/>
    <col min="10" max="16384" width="9.140625" style="339"/>
  </cols>
  <sheetData>
    <row r="2" spans="1:9" ht="34.5" customHeight="1" x14ac:dyDescent="0.25">
      <c r="A2" s="1602" t="s">
        <v>678</v>
      </c>
      <c r="B2" s="1603"/>
      <c r="C2" s="1603"/>
      <c r="D2" s="1603"/>
      <c r="E2" s="1603"/>
      <c r="F2" s="1603"/>
      <c r="G2" s="1603"/>
      <c r="H2" s="1603"/>
      <c r="I2" s="1603"/>
    </row>
    <row r="3" spans="1:9" x14ac:dyDescent="0.25">
      <c r="A3" s="1604"/>
      <c r="B3" s="1604"/>
      <c r="C3" s="1604"/>
      <c r="D3" s="1604"/>
      <c r="E3" s="1604"/>
      <c r="F3" s="1604"/>
      <c r="G3" s="1604"/>
      <c r="H3" s="1604"/>
      <c r="I3" s="1604"/>
    </row>
    <row r="4" spans="1:9" ht="15" customHeight="1" x14ac:dyDescent="0.25">
      <c r="A4" s="1605"/>
      <c r="B4" s="1606"/>
      <c r="C4" s="1609" t="s">
        <v>11</v>
      </c>
      <c r="D4" s="1610"/>
      <c r="E4" s="1611"/>
      <c r="F4" s="849"/>
      <c r="G4" s="1612" t="s">
        <v>12</v>
      </c>
      <c r="H4" s="1612"/>
      <c r="I4" s="1612"/>
    </row>
    <row r="5" spans="1:9" ht="15" customHeight="1" x14ac:dyDescent="0.25">
      <c r="A5" s="1607"/>
      <c r="B5" s="1608"/>
      <c r="C5" s="850" t="s">
        <v>276</v>
      </c>
      <c r="D5" s="851" t="s">
        <v>273</v>
      </c>
      <c r="E5" s="851" t="s">
        <v>280</v>
      </c>
      <c r="F5" s="852"/>
      <c r="G5" s="851" t="s">
        <v>276</v>
      </c>
      <c r="H5" s="851" t="s">
        <v>273</v>
      </c>
      <c r="I5" s="851" t="s">
        <v>280</v>
      </c>
    </row>
    <row r="6" spans="1:9" ht="15" customHeight="1" x14ac:dyDescent="0.25">
      <c r="A6" s="1613" t="s">
        <v>113</v>
      </c>
      <c r="B6" s="1614"/>
      <c r="C6" s="853">
        <v>177.31</v>
      </c>
      <c r="D6" s="854">
        <v>58.35</v>
      </c>
      <c r="E6" s="854">
        <v>143.32</v>
      </c>
      <c r="F6" s="854"/>
      <c r="G6" s="854">
        <v>283.42</v>
      </c>
      <c r="H6" s="854">
        <v>119.93</v>
      </c>
      <c r="I6" s="854">
        <v>236.71</v>
      </c>
    </row>
    <row r="7" spans="1:9" ht="15" customHeight="1" x14ac:dyDescent="0.25">
      <c r="A7" s="1598" t="s">
        <v>648</v>
      </c>
      <c r="B7" s="1599"/>
      <c r="C7" s="870">
        <v>153.97</v>
      </c>
      <c r="D7" s="856">
        <v>51.6</v>
      </c>
      <c r="E7" s="856">
        <v>124.72</v>
      </c>
      <c r="F7" s="856"/>
      <c r="G7" s="856">
        <v>250.4</v>
      </c>
      <c r="H7" s="856">
        <v>106.36</v>
      </c>
      <c r="I7" s="856">
        <v>209.25</v>
      </c>
    </row>
    <row r="8" spans="1:9" ht="15" customHeight="1" x14ac:dyDescent="0.25">
      <c r="A8" s="1598" t="s">
        <v>649</v>
      </c>
      <c r="B8" s="1599"/>
      <c r="C8" s="870">
        <v>2.58</v>
      </c>
      <c r="D8" s="856">
        <v>1.04</v>
      </c>
      <c r="E8" s="856">
        <v>2.14</v>
      </c>
      <c r="F8" s="856"/>
      <c r="G8" s="856">
        <v>3.9</v>
      </c>
      <c r="H8" s="856">
        <v>1.45</v>
      </c>
      <c r="I8" s="856">
        <v>3.2</v>
      </c>
    </row>
    <row r="9" spans="1:9" ht="15" customHeight="1" x14ac:dyDescent="0.25">
      <c r="A9" s="1598" t="s">
        <v>650</v>
      </c>
      <c r="B9" s="1599"/>
      <c r="C9" s="870">
        <v>20.77</v>
      </c>
      <c r="D9" s="856">
        <v>5.71</v>
      </c>
      <c r="E9" s="856">
        <v>16.46</v>
      </c>
      <c r="F9" s="856"/>
      <c r="G9" s="856">
        <v>29.12</v>
      </c>
      <c r="H9" s="856">
        <v>12.11</v>
      </c>
      <c r="I9" s="856">
        <v>24.26</v>
      </c>
    </row>
    <row r="10" spans="1:9" ht="15" customHeight="1" x14ac:dyDescent="0.25">
      <c r="A10" s="1600" t="s">
        <v>114</v>
      </c>
      <c r="B10" s="1601"/>
      <c r="C10" s="870">
        <v>242.23</v>
      </c>
      <c r="D10" s="856">
        <v>265.98</v>
      </c>
      <c r="E10" s="856">
        <v>249.01</v>
      </c>
      <c r="F10" s="856"/>
      <c r="G10" s="856">
        <v>115.71</v>
      </c>
      <c r="H10" s="856">
        <v>141.77000000000001</v>
      </c>
      <c r="I10" s="856">
        <v>123.16</v>
      </c>
    </row>
    <row r="11" spans="1:9" ht="15" customHeight="1" x14ac:dyDescent="0.25">
      <c r="A11" s="1598" t="s">
        <v>74</v>
      </c>
      <c r="B11" s="1599"/>
      <c r="C11" s="870">
        <v>110.66</v>
      </c>
      <c r="D11" s="856">
        <v>126.16</v>
      </c>
      <c r="E11" s="856">
        <v>115.09</v>
      </c>
      <c r="F11" s="856"/>
      <c r="G11" s="856">
        <v>17.04</v>
      </c>
      <c r="H11" s="856">
        <v>20.82</v>
      </c>
      <c r="I11" s="856">
        <v>18.12</v>
      </c>
    </row>
    <row r="12" spans="1:9" ht="15" customHeight="1" x14ac:dyDescent="0.25">
      <c r="A12" s="1598" t="s">
        <v>69</v>
      </c>
      <c r="B12" s="1599"/>
      <c r="C12" s="870">
        <v>40.369999999999997</v>
      </c>
      <c r="D12" s="856">
        <v>49.51</v>
      </c>
      <c r="E12" s="856">
        <v>42.98</v>
      </c>
      <c r="F12" s="856"/>
      <c r="G12" s="856">
        <v>24.39</v>
      </c>
      <c r="H12" s="856">
        <v>34.4</v>
      </c>
      <c r="I12" s="856">
        <v>27.25</v>
      </c>
    </row>
    <row r="13" spans="1:9" ht="15" customHeight="1" x14ac:dyDescent="0.25">
      <c r="A13" s="1598" t="s">
        <v>70</v>
      </c>
      <c r="B13" s="1599"/>
      <c r="C13" s="870">
        <v>14.38</v>
      </c>
      <c r="D13" s="856">
        <v>14.17</v>
      </c>
      <c r="E13" s="856">
        <v>14.32</v>
      </c>
      <c r="F13" s="856"/>
      <c r="G13" s="857">
        <v>0.56999999999999995</v>
      </c>
      <c r="H13" s="857">
        <v>0.61</v>
      </c>
      <c r="I13" s="857">
        <v>0.57999999999999996</v>
      </c>
    </row>
    <row r="14" spans="1:9" ht="15" customHeight="1" x14ac:dyDescent="0.25">
      <c r="A14" s="1598" t="s">
        <v>76</v>
      </c>
      <c r="B14" s="1599"/>
      <c r="C14" s="870">
        <v>17.05</v>
      </c>
      <c r="D14" s="856">
        <v>17.510000000000002</v>
      </c>
      <c r="E14" s="856">
        <v>17.18</v>
      </c>
      <c r="F14" s="856"/>
      <c r="G14" s="856">
        <v>22.42</v>
      </c>
      <c r="H14" s="856">
        <v>26.91</v>
      </c>
      <c r="I14" s="856">
        <v>23.7</v>
      </c>
    </row>
    <row r="15" spans="1:9" ht="15" customHeight="1" x14ac:dyDescent="0.25">
      <c r="A15" s="1598" t="s">
        <v>234</v>
      </c>
      <c r="B15" s="1599"/>
      <c r="C15" s="871">
        <v>0.32</v>
      </c>
      <c r="D15" s="856">
        <v>1.05</v>
      </c>
      <c r="E15" s="857">
        <v>0.52</v>
      </c>
      <c r="F15" s="857"/>
      <c r="G15" s="856">
        <v>9.6999999999999993</v>
      </c>
      <c r="H15" s="856">
        <v>14.05</v>
      </c>
      <c r="I15" s="856">
        <v>10.94</v>
      </c>
    </row>
    <row r="16" spans="1:9" ht="15" customHeight="1" x14ac:dyDescent="0.25">
      <c r="A16" s="1598" t="s">
        <v>72</v>
      </c>
      <c r="B16" s="1599"/>
      <c r="C16" s="870">
        <v>15.49</v>
      </c>
      <c r="D16" s="856">
        <v>17.78</v>
      </c>
      <c r="E16" s="856">
        <v>16.14</v>
      </c>
      <c r="F16" s="856"/>
      <c r="G16" s="856">
        <v>14.49</v>
      </c>
      <c r="H16" s="856">
        <v>15.4</v>
      </c>
      <c r="I16" s="856">
        <v>14.75</v>
      </c>
    </row>
    <row r="17" spans="1:9" ht="15" customHeight="1" x14ac:dyDescent="0.25">
      <c r="A17" s="1598" t="s">
        <v>235</v>
      </c>
      <c r="B17" s="1599"/>
      <c r="C17" s="871">
        <v>0.48</v>
      </c>
      <c r="D17" s="857">
        <v>0.26</v>
      </c>
      <c r="E17" s="857">
        <v>0.42</v>
      </c>
      <c r="F17" s="857"/>
      <c r="G17" s="857">
        <v>0.4</v>
      </c>
      <c r="H17" s="857">
        <v>0.45</v>
      </c>
      <c r="I17" s="857">
        <v>0.42</v>
      </c>
    </row>
    <row r="18" spans="1:9" ht="15" customHeight="1" x14ac:dyDescent="0.25">
      <c r="A18" s="1598" t="s">
        <v>71</v>
      </c>
      <c r="B18" s="1599"/>
      <c r="C18" s="870">
        <v>25.99</v>
      </c>
      <c r="D18" s="856">
        <v>23.43</v>
      </c>
      <c r="E18" s="856">
        <v>25.26</v>
      </c>
      <c r="F18" s="856"/>
      <c r="G18" s="856">
        <v>10.7</v>
      </c>
      <c r="H18" s="856">
        <v>11.63</v>
      </c>
      <c r="I18" s="856">
        <v>10.96</v>
      </c>
    </row>
    <row r="19" spans="1:9" ht="15" customHeight="1" x14ac:dyDescent="0.25">
      <c r="A19" s="1598" t="s">
        <v>236</v>
      </c>
      <c r="B19" s="1599"/>
      <c r="C19" s="870">
        <v>2.15</v>
      </c>
      <c r="D19" s="856">
        <v>2.5299999999999998</v>
      </c>
      <c r="E19" s="856">
        <v>2.2599999999999998</v>
      </c>
      <c r="F19" s="856"/>
      <c r="G19" s="856">
        <v>1.23</v>
      </c>
      <c r="H19" s="856">
        <v>1.1000000000000001</v>
      </c>
      <c r="I19" s="856">
        <v>1.19</v>
      </c>
    </row>
    <row r="20" spans="1:9" ht="15" customHeight="1" x14ac:dyDescent="0.25">
      <c r="A20" s="1598" t="s">
        <v>651</v>
      </c>
      <c r="B20" s="1599"/>
      <c r="C20" s="871">
        <v>0.09</v>
      </c>
      <c r="D20" s="857">
        <v>0.15</v>
      </c>
      <c r="E20" s="857">
        <v>0.1</v>
      </c>
      <c r="F20" s="857"/>
      <c r="G20" s="857">
        <v>0.28000000000000003</v>
      </c>
      <c r="H20" s="856">
        <v>1.01</v>
      </c>
      <c r="I20" s="857">
        <v>0.49</v>
      </c>
    </row>
    <row r="21" spans="1:9" ht="15" customHeight="1" x14ac:dyDescent="0.25">
      <c r="A21" s="1598" t="s">
        <v>73</v>
      </c>
      <c r="B21" s="1599"/>
      <c r="C21" s="870">
        <v>15.26</v>
      </c>
      <c r="D21" s="856">
        <v>13.44</v>
      </c>
      <c r="E21" s="856">
        <v>14.74</v>
      </c>
      <c r="F21" s="856"/>
      <c r="G21" s="856">
        <v>14.5</v>
      </c>
      <c r="H21" s="856">
        <v>15.4</v>
      </c>
      <c r="I21" s="856">
        <v>14.76</v>
      </c>
    </row>
    <row r="22" spans="1:9" ht="15" customHeight="1" x14ac:dyDescent="0.25">
      <c r="A22" s="1600" t="s">
        <v>115</v>
      </c>
      <c r="B22" s="1601"/>
      <c r="C22" s="870">
        <v>31.45</v>
      </c>
      <c r="D22" s="856">
        <v>12.58</v>
      </c>
      <c r="E22" s="856">
        <v>26.05</v>
      </c>
      <c r="F22" s="856"/>
      <c r="G22" s="856">
        <v>30.58</v>
      </c>
      <c r="H22" s="856">
        <v>10.43</v>
      </c>
      <c r="I22" s="856">
        <v>24.83</v>
      </c>
    </row>
    <row r="23" spans="1:9" ht="15" customHeight="1" x14ac:dyDescent="0.25">
      <c r="A23" s="1598" t="s">
        <v>652</v>
      </c>
      <c r="B23" s="1599"/>
      <c r="C23" s="870">
        <v>28.44</v>
      </c>
      <c r="D23" s="856">
        <v>12.08</v>
      </c>
      <c r="E23" s="856">
        <v>23.77</v>
      </c>
      <c r="F23" s="856"/>
      <c r="G23" s="856">
        <v>26</v>
      </c>
      <c r="H23" s="856">
        <v>8.98</v>
      </c>
      <c r="I23" s="856">
        <v>21.14</v>
      </c>
    </row>
    <row r="24" spans="1:9" ht="15" customHeight="1" x14ac:dyDescent="0.25">
      <c r="A24" s="1598" t="s">
        <v>653</v>
      </c>
      <c r="B24" s="1599"/>
      <c r="C24" s="871">
        <v>0.6</v>
      </c>
      <c r="D24" s="857">
        <v>0.37</v>
      </c>
      <c r="E24" s="857">
        <v>0.54</v>
      </c>
      <c r="F24" s="857"/>
      <c r="G24" s="856">
        <v>1.56</v>
      </c>
      <c r="H24" s="856">
        <v>1.23</v>
      </c>
      <c r="I24" s="856">
        <v>1.47</v>
      </c>
    </row>
    <row r="25" spans="1:9" ht="15" customHeight="1" x14ac:dyDescent="0.25">
      <c r="A25" s="1598" t="s">
        <v>654</v>
      </c>
      <c r="B25" s="1599"/>
      <c r="C25" s="870">
        <v>2.4</v>
      </c>
      <c r="D25" s="857">
        <v>0.13</v>
      </c>
      <c r="E25" s="856">
        <v>1.75</v>
      </c>
      <c r="F25" s="856"/>
      <c r="G25" s="856">
        <v>3.02</v>
      </c>
      <c r="H25" s="857">
        <v>0.22</v>
      </c>
      <c r="I25" s="856">
        <v>2.2200000000000002</v>
      </c>
    </row>
    <row r="26" spans="1:9" ht="15" customHeight="1" x14ac:dyDescent="0.25">
      <c r="A26" s="1600" t="s">
        <v>116</v>
      </c>
      <c r="B26" s="1601"/>
      <c r="C26" s="870">
        <v>680.16</v>
      </c>
      <c r="D26" s="856">
        <v>727.61</v>
      </c>
      <c r="E26" s="856">
        <v>693.72</v>
      </c>
      <c r="F26" s="856"/>
      <c r="G26" s="856">
        <v>666.04</v>
      </c>
      <c r="H26" s="856">
        <v>723.41</v>
      </c>
      <c r="I26" s="856">
        <v>682.43</v>
      </c>
    </row>
    <row r="27" spans="1:9" ht="15" customHeight="1" x14ac:dyDescent="0.25">
      <c r="A27" s="1598" t="s">
        <v>410</v>
      </c>
      <c r="B27" s="1599"/>
      <c r="C27" s="870">
        <v>495.78</v>
      </c>
      <c r="D27" s="856">
        <v>526.63</v>
      </c>
      <c r="E27" s="856">
        <v>504.59</v>
      </c>
      <c r="F27" s="856"/>
      <c r="G27" s="856">
        <v>486.53</v>
      </c>
      <c r="H27" s="856">
        <v>528.4</v>
      </c>
      <c r="I27" s="856">
        <v>498.49</v>
      </c>
    </row>
    <row r="28" spans="1:9" ht="15" customHeight="1" x14ac:dyDescent="0.25">
      <c r="A28" s="1598" t="s">
        <v>655</v>
      </c>
      <c r="B28" s="1599"/>
      <c r="C28" s="870">
        <v>119.81</v>
      </c>
      <c r="D28" s="856">
        <v>137.04</v>
      </c>
      <c r="E28" s="856">
        <v>124.73</v>
      </c>
      <c r="F28" s="856"/>
      <c r="G28" s="856">
        <v>119.01</v>
      </c>
      <c r="H28" s="856">
        <v>134.24</v>
      </c>
      <c r="I28" s="856">
        <v>123.37</v>
      </c>
    </row>
    <row r="29" spans="1:9" ht="15" customHeight="1" x14ac:dyDescent="0.25">
      <c r="A29" s="1598" t="s">
        <v>656</v>
      </c>
      <c r="B29" s="1599"/>
      <c r="C29" s="870">
        <v>63.14</v>
      </c>
      <c r="D29" s="856">
        <v>62.91</v>
      </c>
      <c r="E29" s="856">
        <v>63.07</v>
      </c>
      <c r="F29" s="856"/>
      <c r="G29" s="856">
        <v>59.03</v>
      </c>
      <c r="H29" s="856">
        <v>59.7</v>
      </c>
      <c r="I29" s="856">
        <v>59.22</v>
      </c>
    </row>
    <row r="30" spans="1:9" ht="15" customHeight="1" x14ac:dyDescent="0.25">
      <c r="A30" s="1598" t="s">
        <v>657</v>
      </c>
      <c r="B30" s="1599"/>
      <c r="C30" s="870">
        <v>1.44</v>
      </c>
      <c r="D30" s="856">
        <v>1.03</v>
      </c>
      <c r="E30" s="856">
        <v>1.32</v>
      </c>
      <c r="F30" s="856"/>
      <c r="G30" s="856">
        <v>1.46</v>
      </c>
      <c r="H30" s="856">
        <v>1.07</v>
      </c>
      <c r="I30" s="856">
        <v>1.35</v>
      </c>
    </row>
    <row r="31" spans="1:9" ht="15" customHeight="1" x14ac:dyDescent="0.25">
      <c r="A31" s="1600" t="s">
        <v>117</v>
      </c>
      <c r="B31" s="1601"/>
      <c r="C31" s="870">
        <v>308.08999999999997</v>
      </c>
      <c r="D31" s="856">
        <v>374.71</v>
      </c>
      <c r="E31" s="856">
        <v>327.12</v>
      </c>
      <c r="F31" s="856"/>
      <c r="G31" s="856">
        <v>342.85</v>
      </c>
      <c r="H31" s="856">
        <v>443.03</v>
      </c>
      <c r="I31" s="856">
        <v>371.47</v>
      </c>
    </row>
    <row r="32" spans="1:9" ht="15" customHeight="1" x14ac:dyDescent="0.25">
      <c r="A32" s="1598" t="s">
        <v>658</v>
      </c>
      <c r="B32" s="1599"/>
      <c r="C32" s="871">
        <v>0.59</v>
      </c>
      <c r="D32" s="857">
        <v>0.03</v>
      </c>
      <c r="E32" s="857">
        <v>0.43</v>
      </c>
      <c r="F32" s="857"/>
      <c r="G32" s="856">
        <v>0</v>
      </c>
      <c r="H32" s="856">
        <v>0</v>
      </c>
      <c r="I32" s="856">
        <v>0</v>
      </c>
    </row>
    <row r="33" spans="1:9" ht="15" customHeight="1" x14ac:dyDescent="0.25">
      <c r="A33" s="1598" t="s">
        <v>659</v>
      </c>
      <c r="B33" s="1599"/>
      <c r="C33" s="870">
        <v>7.44</v>
      </c>
      <c r="D33" s="856">
        <v>5.94</v>
      </c>
      <c r="E33" s="856">
        <v>7.01</v>
      </c>
      <c r="F33" s="856"/>
      <c r="G33" s="856">
        <v>8.65</v>
      </c>
      <c r="H33" s="856">
        <v>9.31</v>
      </c>
      <c r="I33" s="856">
        <v>8.84</v>
      </c>
    </row>
    <row r="34" spans="1:9" ht="15" customHeight="1" x14ac:dyDescent="0.25">
      <c r="A34" s="1598" t="s">
        <v>660</v>
      </c>
      <c r="B34" s="1599"/>
      <c r="C34" s="871">
        <v>0.64</v>
      </c>
      <c r="D34" s="856">
        <v>1.81</v>
      </c>
      <c r="E34" s="857">
        <v>0.98</v>
      </c>
      <c r="F34" s="857"/>
      <c r="G34" s="857">
        <v>0.72</v>
      </c>
      <c r="H34" s="856">
        <v>1.92</v>
      </c>
      <c r="I34" s="856">
        <v>1.06</v>
      </c>
    </row>
    <row r="35" spans="1:9" ht="15" customHeight="1" x14ac:dyDescent="0.25">
      <c r="A35" s="1598" t="s">
        <v>661</v>
      </c>
      <c r="B35" s="1599"/>
      <c r="C35" s="870">
        <v>53.34</v>
      </c>
      <c r="D35" s="856">
        <v>79.959999999999994</v>
      </c>
      <c r="E35" s="856">
        <v>60.95</v>
      </c>
      <c r="F35" s="856"/>
      <c r="G35" s="856">
        <v>53.63</v>
      </c>
      <c r="H35" s="856">
        <v>83.4</v>
      </c>
      <c r="I35" s="856">
        <v>62.13</v>
      </c>
    </row>
    <row r="36" spans="1:9" ht="15" customHeight="1" x14ac:dyDescent="0.25">
      <c r="A36" s="1598" t="s">
        <v>662</v>
      </c>
      <c r="B36" s="1599"/>
      <c r="C36" s="871">
        <v>0.61</v>
      </c>
      <c r="D36" s="856">
        <v>1.1000000000000001</v>
      </c>
      <c r="E36" s="857">
        <v>0.75</v>
      </c>
      <c r="F36" s="857"/>
      <c r="G36" s="856">
        <v>1.01</v>
      </c>
      <c r="H36" s="856">
        <v>2.84</v>
      </c>
      <c r="I36" s="856">
        <v>1.53</v>
      </c>
    </row>
    <row r="37" spans="1:9" ht="15" customHeight="1" x14ac:dyDescent="0.25">
      <c r="A37" s="1598" t="s">
        <v>663</v>
      </c>
      <c r="B37" s="1599"/>
      <c r="C37" s="870">
        <v>49.88</v>
      </c>
      <c r="D37" s="856">
        <v>53.51</v>
      </c>
      <c r="E37" s="856">
        <v>50.92</v>
      </c>
      <c r="F37" s="856"/>
      <c r="G37" s="856">
        <v>50.37</v>
      </c>
      <c r="H37" s="856">
        <v>57.13</v>
      </c>
      <c r="I37" s="856">
        <v>52.3</v>
      </c>
    </row>
    <row r="38" spans="1:9" ht="15" customHeight="1" x14ac:dyDescent="0.25">
      <c r="A38" s="1598" t="s">
        <v>664</v>
      </c>
      <c r="B38" s="1599"/>
      <c r="C38" s="870">
        <v>15.32</v>
      </c>
      <c r="D38" s="856">
        <v>25.84</v>
      </c>
      <c r="E38" s="856">
        <v>18.329999999999998</v>
      </c>
      <c r="F38" s="856"/>
      <c r="G38" s="856">
        <v>18.73</v>
      </c>
      <c r="H38" s="856">
        <v>32.630000000000003</v>
      </c>
      <c r="I38" s="856">
        <v>22.7</v>
      </c>
    </row>
    <row r="39" spans="1:9" ht="15" customHeight="1" x14ac:dyDescent="0.25">
      <c r="A39" s="1598" t="s">
        <v>665</v>
      </c>
      <c r="B39" s="1599"/>
      <c r="C39" s="871">
        <v>0.03</v>
      </c>
      <c r="D39" s="857">
        <v>0.09</v>
      </c>
      <c r="E39" s="857">
        <v>0.05</v>
      </c>
      <c r="F39" s="857"/>
      <c r="G39" s="856">
        <v>2.1800000000000002</v>
      </c>
      <c r="H39" s="856">
        <v>3.63</v>
      </c>
      <c r="I39" s="856">
        <v>2.59</v>
      </c>
    </row>
    <row r="40" spans="1:9" ht="15" customHeight="1" x14ac:dyDescent="0.25">
      <c r="A40" s="1598" t="s">
        <v>666</v>
      </c>
      <c r="B40" s="1599"/>
      <c r="C40" s="871">
        <v>0.21</v>
      </c>
      <c r="D40" s="857">
        <v>0.08</v>
      </c>
      <c r="E40" s="857">
        <v>0.17</v>
      </c>
      <c r="F40" s="857"/>
      <c r="G40" s="857">
        <v>0.09</v>
      </c>
      <c r="H40" s="857">
        <v>0.19</v>
      </c>
      <c r="I40" s="857">
        <v>0.12</v>
      </c>
    </row>
    <row r="41" spans="1:9" ht="15" customHeight="1" x14ac:dyDescent="0.25">
      <c r="A41" s="1598" t="s">
        <v>667</v>
      </c>
      <c r="B41" s="1599"/>
      <c r="C41" s="870">
        <v>3.08</v>
      </c>
      <c r="D41" s="856">
        <v>2.3199999999999998</v>
      </c>
      <c r="E41" s="856">
        <v>2.86</v>
      </c>
      <c r="F41" s="856"/>
      <c r="G41" s="856">
        <v>1.31</v>
      </c>
      <c r="H41" s="856">
        <v>1.83</v>
      </c>
      <c r="I41" s="856">
        <v>1.46</v>
      </c>
    </row>
    <row r="42" spans="1:9" ht="15" customHeight="1" x14ac:dyDescent="0.25">
      <c r="A42" s="1598" t="s">
        <v>668</v>
      </c>
      <c r="B42" s="1599"/>
      <c r="C42" s="870">
        <v>9.11</v>
      </c>
      <c r="D42" s="856">
        <v>8.41</v>
      </c>
      <c r="E42" s="856">
        <v>8.91</v>
      </c>
      <c r="F42" s="856"/>
      <c r="G42" s="856">
        <v>15.83</v>
      </c>
      <c r="H42" s="856">
        <v>15.93</v>
      </c>
      <c r="I42" s="856">
        <v>15.85</v>
      </c>
    </row>
    <row r="43" spans="1:9" ht="15" customHeight="1" x14ac:dyDescent="0.25">
      <c r="A43" s="1598" t="s">
        <v>669</v>
      </c>
      <c r="B43" s="1599"/>
      <c r="C43" s="870">
        <v>2.62</v>
      </c>
      <c r="D43" s="856">
        <v>2.91</v>
      </c>
      <c r="E43" s="856">
        <v>2.7</v>
      </c>
      <c r="F43" s="856"/>
      <c r="G43" s="856">
        <v>14.34</v>
      </c>
      <c r="H43" s="856">
        <v>18.87</v>
      </c>
      <c r="I43" s="856">
        <v>15.63</v>
      </c>
    </row>
    <row r="44" spans="1:9" ht="15" customHeight="1" x14ac:dyDescent="0.25">
      <c r="A44" s="1598" t="s">
        <v>285</v>
      </c>
      <c r="B44" s="1599"/>
      <c r="C44" s="870">
        <v>14.65</v>
      </c>
      <c r="D44" s="856">
        <v>16.149999999999999</v>
      </c>
      <c r="E44" s="856">
        <v>15.08</v>
      </c>
      <c r="F44" s="856"/>
      <c r="G44" s="856">
        <v>13.18</v>
      </c>
      <c r="H44" s="856">
        <v>14.58</v>
      </c>
      <c r="I44" s="856">
        <v>13.58</v>
      </c>
    </row>
    <row r="45" spans="1:9" ht="15" customHeight="1" x14ac:dyDescent="0.25">
      <c r="A45" s="1598" t="s">
        <v>670</v>
      </c>
      <c r="B45" s="1599"/>
      <c r="C45" s="870">
        <v>139.87</v>
      </c>
      <c r="D45" s="856">
        <v>149.97</v>
      </c>
      <c r="E45" s="856">
        <v>142.75</v>
      </c>
      <c r="F45" s="856"/>
      <c r="G45" s="856">
        <v>147.02000000000001</v>
      </c>
      <c r="H45" s="856">
        <v>165.7</v>
      </c>
      <c r="I45" s="856">
        <v>152.36000000000001</v>
      </c>
    </row>
    <row r="46" spans="1:9" ht="15" customHeight="1" x14ac:dyDescent="0.25">
      <c r="A46" s="1598" t="s">
        <v>671</v>
      </c>
      <c r="B46" s="1599"/>
      <c r="C46" s="870">
        <v>1.17</v>
      </c>
      <c r="D46" s="856">
        <v>1.96</v>
      </c>
      <c r="E46" s="856">
        <v>1.4</v>
      </c>
      <c r="F46" s="856"/>
      <c r="G46" s="856">
        <v>1.39</v>
      </c>
      <c r="H46" s="856">
        <v>2.2799999999999998</v>
      </c>
      <c r="I46" s="856">
        <v>1.65</v>
      </c>
    </row>
    <row r="47" spans="1:9" ht="15" customHeight="1" x14ac:dyDescent="0.25">
      <c r="A47" s="1598" t="s">
        <v>672</v>
      </c>
      <c r="B47" s="1599"/>
      <c r="C47" s="870">
        <v>1.02</v>
      </c>
      <c r="D47" s="856">
        <v>1.56</v>
      </c>
      <c r="E47" s="856">
        <v>1.18</v>
      </c>
      <c r="F47" s="856"/>
      <c r="G47" s="856">
        <v>1.49</v>
      </c>
      <c r="H47" s="856">
        <v>2.33</v>
      </c>
      <c r="I47" s="856">
        <v>1.73</v>
      </c>
    </row>
    <row r="48" spans="1:9" ht="15" customHeight="1" x14ac:dyDescent="0.25">
      <c r="A48" s="1598" t="s">
        <v>673</v>
      </c>
      <c r="B48" s="1599"/>
      <c r="C48" s="870">
        <v>6.84</v>
      </c>
      <c r="D48" s="856">
        <v>14.63</v>
      </c>
      <c r="E48" s="856">
        <v>9.06</v>
      </c>
      <c r="F48" s="856"/>
      <c r="G48" s="856">
        <v>9.11</v>
      </c>
      <c r="H48" s="856">
        <v>19.399999999999999</v>
      </c>
      <c r="I48" s="856">
        <v>12.05</v>
      </c>
    </row>
    <row r="49" spans="1:9" ht="15" customHeight="1" x14ac:dyDescent="0.25">
      <c r="A49" s="1598" t="s">
        <v>674</v>
      </c>
      <c r="B49" s="1599"/>
      <c r="C49" s="870">
        <v>1.04</v>
      </c>
      <c r="D49" s="856">
        <v>4.57</v>
      </c>
      <c r="E49" s="856">
        <v>2.0499999999999998</v>
      </c>
      <c r="F49" s="856"/>
      <c r="G49" s="856">
        <v>2.87</v>
      </c>
      <c r="H49" s="856">
        <v>6.49</v>
      </c>
      <c r="I49" s="856">
        <v>3.9</v>
      </c>
    </row>
    <row r="50" spans="1:9" ht="15" customHeight="1" x14ac:dyDescent="0.25">
      <c r="A50" s="1598" t="s">
        <v>675</v>
      </c>
      <c r="B50" s="1599"/>
      <c r="C50" s="871">
        <v>0.61</v>
      </c>
      <c r="D50" s="856">
        <v>3.86</v>
      </c>
      <c r="E50" s="856">
        <v>1.54</v>
      </c>
      <c r="F50" s="856"/>
      <c r="G50" s="857">
        <v>0.94</v>
      </c>
      <c r="H50" s="856">
        <v>4.59</v>
      </c>
      <c r="I50" s="856">
        <v>1.98</v>
      </c>
    </row>
    <row r="51" spans="1:9" ht="15" customHeight="1" x14ac:dyDescent="0.25">
      <c r="A51" s="1600" t="s">
        <v>676</v>
      </c>
      <c r="B51" s="1601"/>
      <c r="C51" s="871">
        <v>0.77</v>
      </c>
      <c r="D51" s="857">
        <v>0.77</v>
      </c>
      <c r="E51" s="857">
        <v>0.77</v>
      </c>
      <c r="F51" s="857"/>
      <c r="G51" s="856">
        <v>1.39</v>
      </c>
      <c r="H51" s="856">
        <v>1.43</v>
      </c>
      <c r="I51" s="856">
        <v>1.4</v>
      </c>
    </row>
    <row r="52" spans="1:9" ht="15" customHeight="1" x14ac:dyDescent="0.25">
      <c r="A52" s="1615" t="s">
        <v>274</v>
      </c>
      <c r="B52" s="1615"/>
      <c r="C52" s="859">
        <v>1938</v>
      </c>
      <c r="D52" s="859">
        <v>1810</v>
      </c>
      <c r="E52" s="859">
        <v>3748</v>
      </c>
      <c r="F52" s="859"/>
      <c r="G52" s="859">
        <v>1742</v>
      </c>
      <c r="H52" s="859">
        <v>1625</v>
      </c>
      <c r="I52" s="860">
        <v>3367</v>
      </c>
    </row>
    <row r="57" spans="1:9" ht="33" customHeight="1" x14ac:dyDescent="0.25">
      <c r="A57" s="1602" t="s">
        <v>677</v>
      </c>
      <c r="B57" s="1603"/>
      <c r="C57" s="1603"/>
      <c r="D57" s="1603"/>
      <c r="E57" s="1603"/>
      <c r="F57" s="1603"/>
      <c r="G57" s="1603"/>
      <c r="H57" s="1603"/>
      <c r="I57" s="1603"/>
    </row>
    <row r="58" spans="1:9" x14ac:dyDescent="0.25">
      <c r="A58" s="1604"/>
      <c r="B58" s="1604"/>
      <c r="C58" s="1604"/>
      <c r="D58" s="1604"/>
      <c r="E58" s="1604"/>
      <c r="F58" s="1604"/>
      <c r="G58" s="1604"/>
      <c r="H58" s="1604"/>
      <c r="I58" s="1604"/>
    </row>
    <row r="59" spans="1:9" ht="15" customHeight="1" x14ac:dyDescent="0.25">
      <c r="A59" s="1605"/>
      <c r="B59" s="1606"/>
      <c r="C59" s="1609" t="s">
        <v>11</v>
      </c>
      <c r="D59" s="1610"/>
      <c r="E59" s="1611"/>
      <c r="F59" s="861"/>
      <c r="G59" s="1612" t="s">
        <v>12</v>
      </c>
      <c r="H59" s="1612"/>
      <c r="I59" s="1612"/>
    </row>
    <row r="60" spans="1:9" ht="15" customHeight="1" x14ac:dyDescent="0.25">
      <c r="A60" s="1607"/>
      <c r="B60" s="1608"/>
      <c r="C60" s="850" t="s">
        <v>276</v>
      </c>
      <c r="D60" s="851" t="s">
        <v>273</v>
      </c>
      <c r="E60" s="851" t="s">
        <v>280</v>
      </c>
      <c r="F60" s="862"/>
      <c r="G60" s="851" t="s">
        <v>276</v>
      </c>
      <c r="H60" s="851" t="s">
        <v>273</v>
      </c>
      <c r="I60" s="851" t="s">
        <v>280</v>
      </c>
    </row>
    <row r="61" spans="1:9" ht="15" customHeight="1" x14ac:dyDescent="0.25">
      <c r="A61" s="1613" t="s">
        <v>113</v>
      </c>
      <c r="B61" s="1614"/>
      <c r="C61" s="863">
        <v>39.31</v>
      </c>
      <c r="D61" s="864">
        <v>16.21</v>
      </c>
      <c r="E61" s="864">
        <v>32.71</v>
      </c>
      <c r="F61" s="865"/>
      <c r="G61" s="864">
        <v>56.51</v>
      </c>
      <c r="H61" s="864">
        <v>28.17</v>
      </c>
      <c r="I61" s="864">
        <v>48.41</v>
      </c>
    </row>
    <row r="62" spans="1:9" ht="15" customHeight="1" x14ac:dyDescent="0.25">
      <c r="A62" s="1598" t="s">
        <v>648</v>
      </c>
      <c r="B62" s="1599"/>
      <c r="C62" s="866">
        <v>38.92</v>
      </c>
      <c r="D62" s="867">
        <v>15.78</v>
      </c>
      <c r="E62" s="867">
        <v>32.31</v>
      </c>
      <c r="F62" s="856"/>
      <c r="G62" s="867">
        <v>56.28</v>
      </c>
      <c r="H62" s="867">
        <v>27.77</v>
      </c>
      <c r="I62" s="867">
        <v>48.13</v>
      </c>
    </row>
    <row r="63" spans="1:9" ht="15" customHeight="1" x14ac:dyDescent="0.25">
      <c r="A63" s="1598" t="s">
        <v>649</v>
      </c>
      <c r="B63" s="1599"/>
      <c r="C63" s="866">
        <v>7.58</v>
      </c>
      <c r="D63" s="867">
        <v>2.2599999999999998</v>
      </c>
      <c r="E63" s="867">
        <v>6.06</v>
      </c>
      <c r="F63" s="856"/>
      <c r="G63" s="867">
        <v>10.52</v>
      </c>
      <c r="H63" s="867">
        <v>3.94</v>
      </c>
      <c r="I63" s="867">
        <v>8.64</v>
      </c>
    </row>
    <row r="64" spans="1:9" ht="15" customHeight="1" x14ac:dyDescent="0.25">
      <c r="A64" s="1598" t="s">
        <v>650</v>
      </c>
      <c r="B64" s="1599"/>
      <c r="C64" s="866">
        <v>33.840000000000003</v>
      </c>
      <c r="D64" s="867">
        <v>10.78</v>
      </c>
      <c r="E64" s="867">
        <v>27.25</v>
      </c>
      <c r="F64" s="856"/>
      <c r="G64" s="867">
        <v>48.52</v>
      </c>
      <c r="H64" s="867">
        <v>19.7</v>
      </c>
      <c r="I64" s="867">
        <v>40.28</v>
      </c>
    </row>
    <row r="65" spans="1:9" ht="15" customHeight="1" x14ac:dyDescent="0.25">
      <c r="A65" s="1600" t="s">
        <v>114</v>
      </c>
      <c r="B65" s="1601"/>
      <c r="C65" s="866">
        <v>93.02</v>
      </c>
      <c r="D65" s="867">
        <v>94.05</v>
      </c>
      <c r="E65" s="867">
        <v>93.31</v>
      </c>
      <c r="F65" s="856"/>
      <c r="G65" s="867">
        <v>76.430000000000007</v>
      </c>
      <c r="H65" s="867">
        <v>78.38</v>
      </c>
      <c r="I65" s="867">
        <v>76.989999999999995</v>
      </c>
    </row>
    <row r="66" spans="1:9" ht="15" customHeight="1" x14ac:dyDescent="0.25">
      <c r="A66" s="1598" t="s">
        <v>74</v>
      </c>
      <c r="B66" s="1599"/>
      <c r="C66" s="866">
        <v>85.01</v>
      </c>
      <c r="D66" s="867">
        <v>86.17</v>
      </c>
      <c r="E66" s="867">
        <v>85.34</v>
      </c>
      <c r="F66" s="856"/>
      <c r="G66" s="867">
        <v>33.78</v>
      </c>
      <c r="H66" s="867">
        <v>34.83</v>
      </c>
      <c r="I66" s="867">
        <v>34.08</v>
      </c>
    </row>
    <row r="67" spans="1:9" ht="15" customHeight="1" x14ac:dyDescent="0.25">
      <c r="A67" s="1598" t="s">
        <v>69</v>
      </c>
      <c r="B67" s="1599"/>
      <c r="C67" s="866">
        <v>61.98</v>
      </c>
      <c r="D67" s="867">
        <v>67.3</v>
      </c>
      <c r="E67" s="867">
        <v>63.5</v>
      </c>
      <c r="F67" s="856"/>
      <c r="G67" s="867">
        <v>36.1</v>
      </c>
      <c r="H67" s="867">
        <v>46.31</v>
      </c>
      <c r="I67" s="867">
        <v>39.020000000000003</v>
      </c>
    </row>
    <row r="68" spans="1:9" ht="15" customHeight="1" x14ac:dyDescent="0.25">
      <c r="A68" s="1598" t="s">
        <v>70</v>
      </c>
      <c r="B68" s="1599"/>
      <c r="C68" s="866">
        <v>27.31</v>
      </c>
      <c r="D68" s="867">
        <v>25.94</v>
      </c>
      <c r="E68" s="867">
        <v>26.92</v>
      </c>
      <c r="F68" s="856"/>
      <c r="G68" s="867">
        <v>2.1800000000000002</v>
      </c>
      <c r="H68" s="867">
        <v>2.34</v>
      </c>
      <c r="I68" s="867">
        <v>2.2200000000000002</v>
      </c>
    </row>
    <row r="69" spans="1:9" ht="15" customHeight="1" x14ac:dyDescent="0.25">
      <c r="A69" s="1598" t="s">
        <v>76</v>
      </c>
      <c r="B69" s="1599"/>
      <c r="C69" s="866">
        <v>20.51</v>
      </c>
      <c r="D69" s="867">
        <v>20.2</v>
      </c>
      <c r="E69" s="867">
        <v>20.420000000000002</v>
      </c>
      <c r="F69" s="856"/>
      <c r="G69" s="867">
        <v>18.690000000000001</v>
      </c>
      <c r="H69" s="867">
        <v>21.47</v>
      </c>
      <c r="I69" s="867">
        <v>19.48</v>
      </c>
    </row>
    <row r="70" spans="1:9" ht="15" customHeight="1" x14ac:dyDescent="0.25">
      <c r="A70" s="1598" t="s">
        <v>234</v>
      </c>
      <c r="B70" s="1599"/>
      <c r="C70" s="868">
        <v>0.69</v>
      </c>
      <c r="D70" s="867">
        <v>1.19</v>
      </c>
      <c r="E70" s="869">
        <v>0.83</v>
      </c>
      <c r="F70" s="857"/>
      <c r="G70" s="867">
        <v>9.81</v>
      </c>
      <c r="H70" s="867">
        <v>14.37</v>
      </c>
      <c r="I70" s="867">
        <v>11.11</v>
      </c>
    </row>
    <row r="71" spans="1:9" ht="15" customHeight="1" x14ac:dyDescent="0.25">
      <c r="A71" s="1598" t="s">
        <v>72</v>
      </c>
      <c r="B71" s="1599"/>
      <c r="C71" s="866">
        <v>40.72</v>
      </c>
      <c r="D71" s="867">
        <v>33.92</v>
      </c>
      <c r="E71" s="867">
        <v>38.78</v>
      </c>
      <c r="F71" s="856"/>
      <c r="G71" s="867">
        <v>37.590000000000003</v>
      </c>
      <c r="H71" s="867">
        <v>36.83</v>
      </c>
      <c r="I71" s="867">
        <v>37.380000000000003</v>
      </c>
    </row>
    <row r="72" spans="1:9" ht="15" customHeight="1" x14ac:dyDescent="0.25">
      <c r="A72" s="1598" t="s">
        <v>235</v>
      </c>
      <c r="B72" s="1599"/>
      <c r="C72" s="868">
        <v>0.92</v>
      </c>
      <c r="D72" s="867">
        <v>1.05</v>
      </c>
      <c r="E72" s="869">
        <v>0.96</v>
      </c>
      <c r="F72" s="857"/>
      <c r="G72" s="869">
        <v>0.94</v>
      </c>
      <c r="H72" s="867">
        <v>1.1399999999999999</v>
      </c>
      <c r="I72" s="867">
        <v>1</v>
      </c>
    </row>
    <row r="73" spans="1:9" ht="15" customHeight="1" x14ac:dyDescent="0.25">
      <c r="A73" s="1598" t="s">
        <v>71</v>
      </c>
      <c r="B73" s="1599"/>
      <c r="C73" s="866">
        <v>17.75</v>
      </c>
      <c r="D73" s="867">
        <v>16.13</v>
      </c>
      <c r="E73" s="867">
        <v>17.29</v>
      </c>
      <c r="F73" s="856"/>
      <c r="G73" s="867">
        <v>10.87</v>
      </c>
      <c r="H73" s="867">
        <v>11.55</v>
      </c>
      <c r="I73" s="867">
        <v>11.06</v>
      </c>
    </row>
    <row r="74" spans="1:9" ht="15" customHeight="1" x14ac:dyDescent="0.25">
      <c r="A74" s="1598" t="s">
        <v>236</v>
      </c>
      <c r="B74" s="1599"/>
      <c r="C74" s="866">
        <v>2.84</v>
      </c>
      <c r="D74" s="867">
        <v>3.59</v>
      </c>
      <c r="E74" s="867">
        <v>3.06</v>
      </c>
      <c r="F74" s="856"/>
      <c r="G74" s="867">
        <v>2.12</v>
      </c>
      <c r="H74" s="867">
        <v>1.3</v>
      </c>
      <c r="I74" s="867">
        <v>1.88</v>
      </c>
    </row>
    <row r="75" spans="1:9" ht="15" customHeight="1" x14ac:dyDescent="0.25">
      <c r="A75" s="1598" t="s">
        <v>651</v>
      </c>
      <c r="B75" s="1599"/>
      <c r="C75" s="868">
        <v>0.05</v>
      </c>
      <c r="D75" s="869">
        <v>0.16</v>
      </c>
      <c r="E75" s="869">
        <v>0.08</v>
      </c>
      <c r="F75" s="857"/>
      <c r="G75" s="869">
        <v>0.38</v>
      </c>
      <c r="H75" s="869">
        <v>0.46</v>
      </c>
      <c r="I75" s="869">
        <v>0.4</v>
      </c>
    </row>
    <row r="76" spans="1:9" ht="15" customHeight="1" x14ac:dyDescent="0.25">
      <c r="A76" s="1598" t="s">
        <v>73</v>
      </c>
      <c r="B76" s="1599"/>
      <c r="C76" s="866">
        <v>40.020000000000003</v>
      </c>
      <c r="D76" s="867">
        <v>34.42</v>
      </c>
      <c r="E76" s="867">
        <v>38.42</v>
      </c>
      <c r="F76" s="856"/>
      <c r="G76" s="867">
        <v>38.46</v>
      </c>
      <c r="H76" s="867">
        <v>36.590000000000003</v>
      </c>
      <c r="I76" s="867">
        <v>37.92</v>
      </c>
    </row>
    <row r="77" spans="1:9" ht="15" customHeight="1" x14ac:dyDescent="0.25">
      <c r="A77" s="1600" t="s">
        <v>115</v>
      </c>
      <c r="B77" s="1601"/>
      <c r="C77" s="866">
        <v>9.4499999999999993</v>
      </c>
      <c r="D77" s="867">
        <v>5.67</v>
      </c>
      <c r="E77" s="867">
        <v>8.3699999999999992</v>
      </c>
      <c r="F77" s="856"/>
      <c r="G77" s="867">
        <v>7.95</v>
      </c>
      <c r="H77" s="867">
        <v>5.77</v>
      </c>
      <c r="I77" s="867">
        <v>7.33</v>
      </c>
    </row>
    <row r="78" spans="1:9" ht="15" customHeight="1" x14ac:dyDescent="0.25">
      <c r="A78" s="1598" t="s">
        <v>652</v>
      </c>
      <c r="B78" s="1599"/>
      <c r="C78" s="866">
        <v>8.75</v>
      </c>
      <c r="D78" s="867">
        <v>5.38</v>
      </c>
      <c r="E78" s="867">
        <v>7.78</v>
      </c>
      <c r="F78" s="856"/>
      <c r="G78" s="867">
        <v>7.57</v>
      </c>
      <c r="H78" s="867">
        <v>5.51</v>
      </c>
      <c r="I78" s="867">
        <v>6.98</v>
      </c>
    </row>
    <row r="79" spans="1:9" ht="15" customHeight="1" x14ac:dyDescent="0.25">
      <c r="A79" s="1598" t="s">
        <v>653</v>
      </c>
      <c r="B79" s="1599"/>
      <c r="C79" s="868">
        <v>0.78</v>
      </c>
      <c r="D79" s="869">
        <v>0.28999999999999998</v>
      </c>
      <c r="E79" s="869">
        <v>0.64</v>
      </c>
      <c r="F79" s="857"/>
      <c r="G79" s="869">
        <v>0.39</v>
      </c>
      <c r="H79" s="869">
        <v>0.26</v>
      </c>
      <c r="I79" s="869">
        <v>0.35</v>
      </c>
    </row>
    <row r="80" spans="1:9" ht="15" customHeight="1" x14ac:dyDescent="0.25">
      <c r="A80" s="1598" t="s">
        <v>654</v>
      </c>
      <c r="B80" s="1599"/>
      <c r="C80" s="866">
        <v>3.31</v>
      </c>
      <c r="D80" s="869">
        <v>0.21</v>
      </c>
      <c r="E80" s="867">
        <v>2.4300000000000002</v>
      </c>
      <c r="F80" s="856"/>
      <c r="G80" s="867">
        <v>3.42</v>
      </c>
      <c r="H80" s="869">
        <v>0.34</v>
      </c>
      <c r="I80" s="867">
        <v>2.54</v>
      </c>
    </row>
    <row r="81" spans="1:9" ht="15" customHeight="1" x14ac:dyDescent="0.25">
      <c r="A81" s="1600" t="s">
        <v>116</v>
      </c>
      <c r="B81" s="1601"/>
      <c r="C81" s="866">
        <v>100</v>
      </c>
      <c r="D81" s="867">
        <v>100</v>
      </c>
      <c r="E81" s="867">
        <v>100</v>
      </c>
      <c r="F81" s="856"/>
      <c r="G81" s="867">
        <v>100</v>
      </c>
      <c r="H81" s="867">
        <v>100</v>
      </c>
      <c r="I81" s="867">
        <v>100</v>
      </c>
    </row>
    <row r="82" spans="1:9" ht="15" customHeight="1" x14ac:dyDescent="0.25">
      <c r="A82" s="1598" t="s">
        <v>410</v>
      </c>
      <c r="B82" s="1599"/>
      <c r="C82" s="866">
        <v>100</v>
      </c>
      <c r="D82" s="867">
        <v>100</v>
      </c>
      <c r="E82" s="867">
        <v>100</v>
      </c>
      <c r="F82" s="856"/>
      <c r="G82" s="867">
        <v>100</v>
      </c>
      <c r="H82" s="867">
        <v>100</v>
      </c>
      <c r="I82" s="867">
        <v>100</v>
      </c>
    </row>
    <row r="83" spans="1:9" ht="15" customHeight="1" x14ac:dyDescent="0.25">
      <c r="A83" s="1598" t="s">
        <v>655</v>
      </c>
      <c r="B83" s="1599"/>
      <c r="C83" s="866">
        <v>99.49</v>
      </c>
      <c r="D83" s="867">
        <v>99.67</v>
      </c>
      <c r="E83" s="867">
        <v>99.54</v>
      </c>
      <c r="F83" s="856"/>
      <c r="G83" s="867">
        <v>99.7</v>
      </c>
      <c r="H83" s="867">
        <v>99.75</v>
      </c>
      <c r="I83" s="867">
        <v>99.71</v>
      </c>
    </row>
    <row r="84" spans="1:9" ht="15" customHeight="1" x14ac:dyDescent="0.25">
      <c r="A84" s="1598" t="s">
        <v>656</v>
      </c>
      <c r="B84" s="1599"/>
      <c r="C84" s="866">
        <v>97.71</v>
      </c>
      <c r="D84" s="867">
        <v>96.94</v>
      </c>
      <c r="E84" s="867">
        <v>97.49</v>
      </c>
      <c r="F84" s="856"/>
      <c r="G84" s="867">
        <v>97.44</v>
      </c>
      <c r="H84" s="867">
        <v>97.12</v>
      </c>
      <c r="I84" s="867">
        <v>97.35</v>
      </c>
    </row>
    <row r="85" spans="1:9" ht="15" customHeight="1" x14ac:dyDescent="0.25">
      <c r="A85" s="1598" t="s">
        <v>657</v>
      </c>
      <c r="B85" s="1599"/>
      <c r="C85" s="866">
        <v>3.99</v>
      </c>
      <c r="D85" s="867">
        <v>2.33</v>
      </c>
      <c r="E85" s="867">
        <v>3.51</v>
      </c>
      <c r="F85" s="856"/>
      <c r="G85" s="867">
        <v>3.45</v>
      </c>
      <c r="H85" s="867">
        <v>2.11</v>
      </c>
      <c r="I85" s="867">
        <v>3.07</v>
      </c>
    </row>
    <row r="86" spans="1:9" ht="15" customHeight="1" x14ac:dyDescent="0.25">
      <c r="A86" s="1600" t="s">
        <v>117</v>
      </c>
      <c r="B86" s="1601"/>
      <c r="C86" s="866">
        <v>98.71</v>
      </c>
      <c r="D86" s="867">
        <v>99.66</v>
      </c>
      <c r="E86" s="867">
        <v>98.98</v>
      </c>
      <c r="F86" s="856"/>
      <c r="G86" s="867">
        <v>98.92</v>
      </c>
      <c r="H86" s="867">
        <v>99.43</v>
      </c>
      <c r="I86" s="867">
        <v>99.07</v>
      </c>
    </row>
    <row r="87" spans="1:9" ht="15" customHeight="1" x14ac:dyDescent="0.25">
      <c r="A87" s="1598" t="s">
        <v>658</v>
      </c>
      <c r="B87" s="1599"/>
      <c r="C87" s="868">
        <v>0.24</v>
      </c>
      <c r="D87" s="869">
        <v>0.04</v>
      </c>
      <c r="E87" s="869">
        <v>0.19</v>
      </c>
      <c r="F87" s="857"/>
      <c r="G87" s="867">
        <v>0</v>
      </c>
      <c r="H87" s="867">
        <v>0</v>
      </c>
      <c r="I87" s="867">
        <v>0</v>
      </c>
    </row>
    <row r="88" spans="1:9" ht="15" customHeight="1" x14ac:dyDescent="0.25">
      <c r="A88" s="1598" t="s">
        <v>659</v>
      </c>
      <c r="B88" s="1599"/>
      <c r="C88" s="866">
        <v>4.2699999999999996</v>
      </c>
      <c r="D88" s="867">
        <v>4.9400000000000004</v>
      </c>
      <c r="E88" s="867">
        <v>4.46</v>
      </c>
      <c r="F88" s="856"/>
      <c r="G88" s="867">
        <v>5.34</v>
      </c>
      <c r="H88" s="867">
        <v>6.46</v>
      </c>
      <c r="I88" s="867">
        <v>5.66</v>
      </c>
    </row>
    <row r="89" spans="1:9" ht="15" customHeight="1" x14ac:dyDescent="0.25">
      <c r="A89" s="1598" t="s">
        <v>660</v>
      </c>
      <c r="B89" s="1599"/>
      <c r="C89" s="866">
        <v>1.02</v>
      </c>
      <c r="D89" s="867">
        <v>2.4900000000000002</v>
      </c>
      <c r="E89" s="867">
        <v>1.44</v>
      </c>
      <c r="F89" s="856"/>
      <c r="G89" s="869">
        <v>0.98</v>
      </c>
      <c r="H89" s="867">
        <v>2.74</v>
      </c>
      <c r="I89" s="867">
        <v>1.48</v>
      </c>
    </row>
    <row r="90" spans="1:9" ht="15" customHeight="1" x14ac:dyDescent="0.25">
      <c r="A90" s="1598" t="s">
        <v>661</v>
      </c>
      <c r="B90" s="1599"/>
      <c r="C90" s="866">
        <v>63.65</v>
      </c>
      <c r="D90" s="867">
        <v>71</v>
      </c>
      <c r="E90" s="867">
        <v>65.75</v>
      </c>
      <c r="F90" s="856"/>
      <c r="G90" s="867">
        <v>62.75</v>
      </c>
      <c r="H90" s="867">
        <v>68.61</v>
      </c>
      <c r="I90" s="867">
        <v>64.430000000000007</v>
      </c>
    </row>
    <row r="91" spans="1:9" ht="15" customHeight="1" x14ac:dyDescent="0.25">
      <c r="A91" s="1598" t="s">
        <v>662</v>
      </c>
      <c r="B91" s="1599"/>
      <c r="C91" s="868">
        <v>0.53</v>
      </c>
      <c r="D91" s="869">
        <v>0.83</v>
      </c>
      <c r="E91" s="869">
        <v>0.62</v>
      </c>
      <c r="F91" s="857"/>
      <c r="G91" s="869">
        <v>0.75</v>
      </c>
      <c r="H91" s="867">
        <v>2.1</v>
      </c>
      <c r="I91" s="867">
        <v>1.1399999999999999</v>
      </c>
    </row>
    <row r="92" spans="1:9" ht="15" customHeight="1" x14ac:dyDescent="0.25">
      <c r="A92" s="1598" t="s">
        <v>663</v>
      </c>
      <c r="B92" s="1599"/>
      <c r="C92" s="866">
        <v>54.41</v>
      </c>
      <c r="D92" s="867">
        <v>59.14</v>
      </c>
      <c r="E92" s="867">
        <v>55.76</v>
      </c>
      <c r="F92" s="856"/>
      <c r="G92" s="867">
        <v>55.62</v>
      </c>
      <c r="H92" s="867">
        <v>56.79</v>
      </c>
      <c r="I92" s="867">
        <v>55.96</v>
      </c>
    </row>
    <row r="93" spans="1:9" ht="15" customHeight="1" x14ac:dyDescent="0.25">
      <c r="A93" s="1598" t="s">
        <v>664</v>
      </c>
      <c r="B93" s="1599"/>
      <c r="C93" s="866">
        <v>17.989999999999998</v>
      </c>
      <c r="D93" s="867">
        <v>24.8</v>
      </c>
      <c r="E93" s="867">
        <v>19.940000000000001</v>
      </c>
      <c r="F93" s="856"/>
      <c r="G93" s="867">
        <v>20.38</v>
      </c>
      <c r="H93" s="867">
        <v>28.83</v>
      </c>
      <c r="I93" s="867">
        <v>22.8</v>
      </c>
    </row>
    <row r="94" spans="1:9" ht="15" customHeight="1" x14ac:dyDescent="0.25">
      <c r="A94" s="1598" t="s">
        <v>665</v>
      </c>
      <c r="B94" s="1599"/>
      <c r="C94" s="868">
        <v>0.02</v>
      </c>
      <c r="D94" s="869">
        <v>0.1</v>
      </c>
      <c r="E94" s="869">
        <v>0.04</v>
      </c>
      <c r="F94" s="857"/>
      <c r="G94" s="869">
        <v>0.84</v>
      </c>
      <c r="H94" s="867">
        <v>1.37</v>
      </c>
      <c r="I94" s="869">
        <v>0.99</v>
      </c>
    </row>
    <row r="95" spans="1:9" ht="15" customHeight="1" x14ac:dyDescent="0.25">
      <c r="A95" s="1598" t="s">
        <v>666</v>
      </c>
      <c r="B95" s="1599"/>
      <c r="C95" s="868">
        <v>0.23</v>
      </c>
      <c r="D95" s="869">
        <v>0.04</v>
      </c>
      <c r="E95" s="869">
        <v>0.18</v>
      </c>
      <c r="F95" s="857"/>
      <c r="G95" s="869">
        <v>0.26</v>
      </c>
      <c r="H95" s="869">
        <v>0.89</v>
      </c>
      <c r="I95" s="869">
        <v>0.44</v>
      </c>
    </row>
    <row r="96" spans="1:9" ht="15" customHeight="1" x14ac:dyDescent="0.25">
      <c r="A96" s="1598" t="s">
        <v>667</v>
      </c>
      <c r="B96" s="1599"/>
      <c r="C96" s="866">
        <v>3.22</v>
      </c>
      <c r="D96" s="867">
        <v>2.4300000000000002</v>
      </c>
      <c r="E96" s="867">
        <v>2.99</v>
      </c>
      <c r="F96" s="856"/>
      <c r="G96" s="869">
        <v>0.79</v>
      </c>
      <c r="H96" s="869">
        <v>0.8</v>
      </c>
      <c r="I96" s="869">
        <v>0.79</v>
      </c>
    </row>
    <row r="97" spans="1:9" ht="15" customHeight="1" x14ac:dyDescent="0.25">
      <c r="A97" s="1598" t="s">
        <v>668</v>
      </c>
      <c r="B97" s="1599"/>
      <c r="C97" s="866">
        <v>11.4</v>
      </c>
      <c r="D97" s="867">
        <v>11.11</v>
      </c>
      <c r="E97" s="867">
        <v>11.32</v>
      </c>
      <c r="F97" s="856"/>
      <c r="G97" s="867">
        <v>16.309999999999999</v>
      </c>
      <c r="H97" s="867">
        <v>15.84</v>
      </c>
      <c r="I97" s="867">
        <v>16.170000000000002</v>
      </c>
    </row>
    <row r="98" spans="1:9" ht="15" customHeight="1" x14ac:dyDescent="0.25">
      <c r="A98" s="1598" t="s">
        <v>669</v>
      </c>
      <c r="B98" s="1599"/>
      <c r="C98" s="866">
        <v>3.98</v>
      </c>
      <c r="D98" s="867">
        <v>4.1500000000000004</v>
      </c>
      <c r="E98" s="867">
        <v>4.03</v>
      </c>
      <c r="F98" s="856"/>
      <c r="G98" s="867">
        <v>13.06</v>
      </c>
      <c r="H98" s="867">
        <v>15.86</v>
      </c>
      <c r="I98" s="867">
        <v>13.86</v>
      </c>
    </row>
    <row r="99" spans="1:9" ht="15" customHeight="1" x14ac:dyDescent="0.25">
      <c r="A99" s="1598" t="s">
        <v>285</v>
      </c>
      <c r="B99" s="1599"/>
      <c r="C99" s="866">
        <v>19.170000000000002</v>
      </c>
      <c r="D99" s="867">
        <v>20.8</v>
      </c>
      <c r="E99" s="867">
        <v>19.64</v>
      </c>
      <c r="F99" s="856"/>
      <c r="G99" s="867">
        <v>20.7</v>
      </c>
      <c r="H99" s="867">
        <v>23.05</v>
      </c>
      <c r="I99" s="867">
        <v>21.37</v>
      </c>
    </row>
    <row r="100" spans="1:9" ht="15" customHeight="1" x14ac:dyDescent="0.25">
      <c r="A100" s="1598" t="s">
        <v>670</v>
      </c>
      <c r="B100" s="1599"/>
      <c r="C100" s="866">
        <v>85.48</v>
      </c>
      <c r="D100" s="867">
        <v>84.89</v>
      </c>
      <c r="E100" s="867">
        <v>85.31</v>
      </c>
      <c r="F100" s="856"/>
      <c r="G100" s="867">
        <v>85.42</v>
      </c>
      <c r="H100" s="867">
        <v>85.65</v>
      </c>
      <c r="I100" s="867">
        <v>85.48</v>
      </c>
    </row>
    <row r="101" spans="1:9" ht="15" customHeight="1" x14ac:dyDescent="0.25">
      <c r="A101" s="1598" t="s">
        <v>671</v>
      </c>
      <c r="B101" s="1599"/>
      <c r="C101" s="866">
        <v>2.5499999999999998</v>
      </c>
      <c r="D101" s="867">
        <v>3.56</v>
      </c>
      <c r="E101" s="867">
        <v>2.84</v>
      </c>
      <c r="F101" s="856"/>
      <c r="G101" s="867">
        <v>2.88</v>
      </c>
      <c r="H101" s="867">
        <v>3.59</v>
      </c>
      <c r="I101" s="867">
        <v>3.08</v>
      </c>
    </row>
    <row r="102" spans="1:9" ht="15" customHeight="1" x14ac:dyDescent="0.25">
      <c r="A102" s="1598" t="s">
        <v>672</v>
      </c>
      <c r="B102" s="1599"/>
      <c r="C102" s="866">
        <v>2.66</v>
      </c>
      <c r="D102" s="867">
        <v>3.32</v>
      </c>
      <c r="E102" s="867">
        <v>2.84</v>
      </c>
      <c r="F102" s="856"/>
      <c r="G102" s="867">
        <v>3.22</v>
      </c>
      <c r="H102" s="867">
        <v>5.0999999999999996</v>
      </c>
      <c r="I102" s="867">
        <v>3.76</v>
      </c>
    </row>
    <row r="103" spans="1:9" ht="15" customHeight="1" x14ac:dyDescent="0.25">
      <c r="A103" s="1598" t="s">
        <v>673</v>
      </c>
      <c r="B103" s="1599"/>
      <c r="C103" s="866">
        <v>17.899999999999999</v>
      </c>
      <c r="D103" s="867">
        <v>29.91</v>
      </c>
      <c r="E103" s="867">
        <v>21.33</v>
      </c>
      <c r="F103" s="856"/>
      <c r="G103" s="867">
        <v>23.53</v>
      </c>
      <c r="H103" s="867">
        <v>35.520000000000003</v>
      </c>
      <c r="I103" s="867">
        <v>26.95</v>
      </c>
    </row>
    <row r="104" spans="1:9" ht="15" customHeight="1" x14ac:dyDescent="0.25">
      <c r="A104" s="1598" t="s">
        <v>674</v>
      </c>
      <c r="B104" s="1599"/>
      <c r="C104" s="866">
        <v>3.18</v>
      </c>
      <c r="D104" s="867">
        <v>6.51</v>
      </c>
      <c r="E104" s="867">
        <v>4.13</v>
      </c>
      <c r="F104" s="856"/>
      <c r="G104" s="867">
        <v>7.66</v>
      </c>
      <c r="H104" s="867">
        <v>11</v>
      </c>
      <c r="I104" s="867">
        <v>8.6199999999999992</v>
      </c>
    </row>
    <row r="105" spans="1:9" ht="15" customHeight="1" x14ac:dyDescent="0.25">
      <c r="A105" s="1598" t="s">
        <v>675</v>
      </c>
      <c r="B105" s="1599"/>
      <c r="C105" s="868">
        <v>0.51</v>
      </c>
      <c r="D105" s="867">
        <v>2.82</v>
      </c>
      <c r="E105" s="867">
        <v>1.17</v>
      </c>
      <c r="F105" s="856"/>
      <c r="G105" s="869">
        <v>0.71</v>
      </c>
      <c r="H105" s="867">
        <v>4.03</v>
      </c>
      <c r="I105" s="867">
        <v>1.66</v>
      </c>
    </row>
    <row r="106" spans="1:9" ht="15" customHeight="1" x14ac:dyDescent="0.25">
      <c r="A106" s="1600" t="s">
        <v>676</v>
      </c>
      <c r="B106" s="1601"/>
      <c r="C106" s="866">
        <v>2.77</v>
      </c>
      <c r="D106" s="867">
        <v>2.54</v>
      </c>
      <c r="E106" s="867">
        <v>2.71</v>
      </c>
      <c r="F106" s="856"/>
      <c r="G106" s="856">
        <v>4.21</v>
      </c>
      <c r="H106" s="856">
        <v>3.78</v>
      </c>
      <c r="I106" s="856">
        <v>4.08</v>
      </c>
    </row>
    <row r="107" spans="1:9" ht="15" customHeight="1" x14ac:dyDescent="0.25">
      <c r="A107" s="1615" t="s">
        <v>274</v>
      </c>
      <c r="B107" s="1615"/>
      <c r="C107" s="859">
        <v>1938</v>
      </c>
      <c r="D107" s="859">
        <v>1810</v>
      </c>
      <c r="E107" s="859">
        <v>3748</v>
      </c>
      <c r="F107" s="859"/>
      <c r="G107" s="859">
        <v>1742</v>
      </c>
      <c r="H107" s="859">
        <v>1625</v>
      </c>
      <c r="I107" s="860">
        <v>3367</v>
      </c>
    </row>
    <row r="112" spans="1:9" ht="37.5" customHeight="1" x14ac:dyDescent="0.25">
      <c r="A112" s="1603" t="s">
        <v>679</v>
      </c>
      <c r="B112" s="1603"/>
      <c r="C112" s="1603"/>
      <c r="D112" s="1603"/>
      <c r="E112" s="1603"/>
      <c r="F112" s="1603"/>
      <c r="G112" s="1603"/>
      <c r="H112" s="1603"/>
      <c r="I112" s="1603"/>
    </row>
    <row r="113" spans="1:9" ht="15" customHeight="1" x14ac:dyDescent="0.25">
      <c r="A113" s="1616"/>
      <c r="B113" s="1616"/>
      <c r="C113" s="1616"/>
      <c r="D113" s="1616"/>
      <c r="E113" s="1616"/>
      <c r="F113" s="1616"/>
      <c r="G113" s="1616"/>
      <c r="H113" s="1616"/>
      <c r="I113" s="1616"/>
    </row>
    <row r="114" spans="1:9" ht="15" customHeight="1" x14ac:dyDescent="0.25">
      <c r="A114" s="1605"/>
      <c r="B114" s="1606"/>
      <c r="C114" s="1617" t="s">
        <v>11</v>
      </c>
      <c r="D114" s="1612"/>
      <c r="E114" s="1612"/>
      <c r="F114" s="861"/>
      <c r="G114" s="1612" t="s">
        <v>12</v>
      </c>
      <c r="H114" s="1612"/>
      <c r="I114" s="1612"/>
    </row>
    <row r="115" spans="1:9" ht="15" customHeight="1" x14ac:dyDescent="0.25">
      <c r="A115" s="1607"/>
      <c r="B115" s="1608"/>
      <c r="C115" s="850" t="s">
        <v>276</v>
      </c>
      <c r="D115" s="851" t="s">
        <v>273</v>
      </c>
      <c r="E115" s="851" t="s">
        <v>280</v>
      </c>
      <c r="F115" s="862"/>
      <c r="G115" s="851" t="s">
        <v>276</v>
      </c>
      <c r="H115" s="851" t="s">
        <v>273</v>
      </c>
      <c r="I115" s="851" t="s">
        <v>280</v>
      </c>
    </row>
    <row r="116" spans="1:9" ht="15" customHeight="1" x14ac:dyDescent="0.25">
      <c r="A116" s="1613" t="s">
        <v>113</v>
      </c>
      <c r="B116" s="1614"/>
      <c r="C116" s="853">
        <v>451.11</v>
      </c>
      <c r="D116" s="854">
        <v>359.98</v>
      </c>
      <c r="E116" s="854">
        <v>438.2</v>
      </c>
      <c r="F116" s="865"/>
      <c r="G116" s="854">
        <v>501.58</v>
      </c>
      <c r="H116" s="854">
        <v>425.74</v>
      </c>
      <c r="I116" s="854">
        <v>488.97</v>
      </c>
    </row>
    <row r="117" spans="1:9" ht="15" customHeight="1" x14ac:dyDescent="0.25">
      <c r="A117" s="1598" t="s">
        <v>648</v>
      </c>
      <c r="B117" s="1599"/>
      <c r="C117" s="870">
        <v>395.56</v>
      </c>
      <c r="D117" s="856">
        <v>327.02999999999997</v>
      </c>
      <c r="E117" s="856">
        <v>386</v>
      </c>
      <c r="F117" s="856"/>
      <c r="G117" s="856">
        <v>444.95</v>
      </c>
      <c r="H117" s="856">
        <v>383.05</v>
      </c>
      <c r="I117" s="856">
        <v>434.75</v>
      </c>
    </row>
    <row r="118" spans="1:9" ht="15" customHeight="1" x14ac:dyDescent="0.25">
      <c r="A118" s="1598" t="s">
        <v>649</v>
      </c>
      <c r="B118" s="1599"/>
      <c r="C118" s="870">
        <v>33.97</v>
      </c>
      <c r="D118" s="856">
        <v>45.85</v>
      </c>
      <c r="E118" s="856">
        <v>35.229999999999997</v>
      </c>
      <c r="F118" s="856"/>
      <c r="G118" s="856">
        <v>37.03</v>
      </c>
      <c r="H118" s="856">
        <v>36.840000000000003</v>
      </c>
      <c r="I118" s="856">
        <v>37.01</v>
      </c>
    </row>
    <row r="119" spans="1:9" ht="15" customHeight="1" x14ac:dyDescent="0.25">
      <c r="A119" s="1598" t="s">
        <v>650</v>
      </c>
      <c r="B119" s="1599"/>
      <c r="C119" s="870">
        <v>61.37</v>
      </c>
      <c r="D119" s="856">
        <v>52.94</v>
      </c>
      <c r="E119" s="856">
        <v>60.42</v>
      </c>
      <c r="F119" s="856"/>
      <c r="G119" s="856">
        <v>60.03</v>
      </c>
      <c r="H119" s="856">
        <v>61.51</v>
      </c>
      <c r="I119" s="856">
        <v>60.23</v>
      </c>
    </row>
    <row r="120" spans="1:9" ht="15" customHeight="1" x14ac:dyDescent="0.25">
      <c r="A120" s="1600" t="s">
        <v>114</v>
      </c>
      <c r="B120" s="1601"/>
      <c r="C120" s="870">
        <v>260.41000000000003</v>
      </c>
      <c r="D120" s="856">
        <v>282.81</v>
      </c>
      <c r="E120" s="856">
        <v>266.86</v>
      </c>
      <c r="F120" s="856"/>
      <c r="G120" s="856">
        <v>151.38999999999999</v>
      </c>
      <c r="H120" s="856">
        <v>180.87</v>
      </c>
      <c r="I120" s="856">
        <v>159.97</v>
      </c>
    </row>
    <row r="121" spans="1:9" ht="15" customHeight="1" x14ac:dyDescent="0.25">
      <c r="A121" s="1598" t="s">
        <v>74</v>
      </c>
      <c r="B121" s="1599"/>
      <c r="C121" s="870">
        <v>130.16999999999999</v>
      </c>
      <c r="D121" s="856">
        <v>146.4</v>
      </c>
      <c r="E121" s="856">
        <v>134.86000000000001</v>
      </c>
      <c r="F121" s="856"/>
      <c r="G121" s="856">
        <v>50.45</v>
      </c>
      <c r="H121" s="856">
        <v>59.78</v>
      </c>
      <c r="I121" s="856">
        <v>53.17</v>
      </c>
    </row>
    <row r="122" spans="1:9" ht="15" customHeight="1" x14ac:dyDescent="0.25">
      <c r="A122" s="1598" t="s">
        <v>69</v>
      </c>
      <c r="B122" s="1599"/>
      <c r="C122" s="870">
        <v>65.14</v>
      </c>
      <c r="D122" s="856">
        <v>73.569999999999993</v>
      </c>
      <c r="E122" s="856">
        <v>67.69</v>
      </c>
      <c r="F122" s="856"/>
      <c r="G122" s="856">
        <v>67.55</v>
      </c>
      <c r="H122" s="856">
        <v>74.290000000000006</v>
      </c>
      <c r="I122" s="856">
        <v>69.84</v>
      </c>
    </row>
    <row r="123" spans="1:9" ht="15" customHeight="1" x14ac:dyDescent="0.25">
      <c r="A123" s="1598" t="s">
        <v>70</v>
      </c>
      <c r="B123" s="1599"/>
      <c r="C123" s="870">
        <v>52.63</v>
      </c>
      <c r="D123" s="856">
        <v>54.63</v>
      </c>
      <c r="E123" s="856">
        <v>53.18</v>
      </c>
      <c r="F123" s="856"/>
      <c r="G123" s="856">
        <v>26.32</v>
      </c>
      <c r="H123" s="856">
        <v>25.98</v>
      </c>
      <c r="I123" s="856">
        <v>26.22</v>
      </c>
    </row>
    <row r="124" spans="1:9" ht="15" customHeight="1" x14ac:dyDescent="0.25">
      <c r="A124" s="1598" t="s">
        <v>76</v>
      </c>
      <c r="B124" s="1599"/>
      <c r="C124" s="870">
        <v>83.11</v>
      </c>
      <c r="D124" s="856">
        <v>86.7</v>
      </c>
      <c r="E124" s="856">
        <v>84.12</v>
      </c>
      <c r="F124" s="856"/>
      <c r="G124" s="856">
        <v>119.98</v>
      </c>
      <c r="H124" s="856">
        <v>125.35</v>
      </c>
      <c r="I124" s="856">
        <v>121.67</v>
      </c>
    </row>
    <row r="125" spans="1:9" ht="15" customHeight="1" x14ac:dyDescent="0.25">
      <c r="A125" s="1598" t="s">
        <v>234</v>
      </c>
      <c r="B125" s="1599"/>
      <c r="C125" s="870">
        <v>45.58</v>
      </c>
      <c r="D125" s="856">
        <v>88.25</v>
      </c>
      <c r="E125" s="856">
        <v>62.93</v>
      </c>
      <c r="F125" s="856"/>
      <c r="G125" s="856">
        <v>98.92</v>
      </c>
      <c r="H125" s="856">
        <v>97.73</v>
      </c>
      <c r="I125" s="856">
        <v>98.48</v>
      </c>
    </row>
    <row r="126" spans="1:9" ht="15" customHeight="1" x14ac:dyDescent="0.25">
      <c r="A126" s="1598" t="s">
        <v>72</v>
      </c>
      <c r="B126" s="1599"/>
      <c r="C126" s="870">
        <v>38.03</v>
      </c>
      <c r="D126" s="856">
        <v>52.42</v>
      </c>
      <c r="E126" s="856">
        <v>41.63</v>
      </c>
      <c r="F126" s="856"/>
      <c r="G126" s="856">
        <v>38.54</v>
      </c>
      <c r="H126" s="856">
        <v>41.8</v>
      </c>
      <c r="I126" s="856">
        <v>39.46</v>
      </c>
    </row>
    <row r="127" spans="1:9" ht="15" customHeight="1" x14ac:dyDescent="0.25">
      <c r="A127" s="1598" t="s">
        <v>235</v>
      </c>
      <c r="B127" s="1599"/>
      <c r="C127" s="870">
        <v>52.03</v>
      </c>
      <c r="D127" s="856">
        <v>25.02</v>
      </c>
      <c r="E127" s="856">
        <v>43.57</v>
      </c>
      <c r="F127" s="856"/>
      <c r="G127" s="856">
        <v>42.49</v>
      </c>
      <c r="H127" s="856">
        <v>39.71</v>
      </c>
      <c r="I127" s="856">
        <v>41.58</v>
      </c>
    </row>
    <row r="128" spans="1:9" ht="15" customHeight="1" x14ac:dyDescent="0.25">
      <c r="A128" s="1598" t="s">
        <v>71</v>
      </c>
      <c r="B128" s="1599"/>
      <c r="C128" s="870">
        <v>146.44</v>
      </c>
      <c r="D128" s="856">
        <v>145.26</v>
      </c>
      <c r="E128" s="856">
        <v>146.12</v>
      </c>
      <c r="F128" s="856"/>
      <c r="G128" s="856">
        <v>98.48</v>
      </c>
      <c r="H128" s="856">
        <v>100.7</v>
      </c>
      <c r="I128" s="856">
        <v>99.14</v>
      </c>
    </row>
    <row r="129" spans="1:9" ht="15" customHeight="1" x14ac:dyDescent="0.25">
      <c r="A129" s="1598" t="s">
        <v>236</v>
      </c>
      <c r="B129" s="1599"/>
      <c r="C129" s="870">
        <v>75.66</v>
      </c>
      <c r="D129" s="856">
        <v>70.459999999999994</v>
      </c>
      <c r="E129" s="856">
        <v>73.92</v>
      </c>
      <c r="F129" s="856"/>
      <c r="G129" s="856">
        <v>57.83</v>
      </c>
      <c r="H129" s="856">
        <v>85</v>
      </c>
      <c r="I129" s="856">
        <v>63.17</v>
      </c>
    </row>
    <row r="130" spans="1:9" ht="15" customHeight="1" x14ac:dyDescent="0.25">
      <c r="A130" s="1598" t="s">
        <v>651</v>
      </c>
      <c r="B130" s="1599"/>
      <c r="C130" s="870">
        <v>160</v>
      </c>
      <c r="D130" s="856">
        <v>89.08</v>
      </c>
      <c r="E130" s="856">
        <v>120.93</v>
      </c>
      <c r="F130" s="856"/>
      <c r="G130" s="856">
        <v>73.290000000000006</v>
      </c>
      <c r="H130" s="856">
        <v>220.06</v>
      </c>
      <c r="I130" s="856">
        <v>121.5</v>
      </c>
    </row>
    <row r="131" spans="1:9" ht="15" customHeight="1" x14ac:dyDescent="0.25">
      <c r="A131" s="1598" t="s">
        <v>73</v>
      </c>
      <c r="B131" s="1599"/>
      <c r="C131" s="870">
        <v>38.130000000000003</v>
      </c>
      <c r="D131" s="856">
        <v>39.04</v>
      </c>
      <c r="E131" s="856">
        <v>38.36</v>
      </c>
      <c r="F131" s="856"/>
      <c r="G131" s="856">
        <v>37.71</v>
      </c>
      <c r="H131" s="856">
        <v>42.09</v>
      </c>
      <c r="I131" s="856">
        <v>38.92</v>
      </c>
    </row>
    <row r="132" spans="1:9" ht="15" customHeight="1" x14ac:dyDescent="0.25">
      <c r="A132" s="1600" t="s">
        <v>115</v>
      </c>
      <c r="B132" s="1601"/>
      <c r="C132" s="870">
        <v>332.87</v>
      </c>
      <c r="D132" s="856">
        <v>221.86</v>
      </c>
      <c r="E132" s="856">
        <v>311.38</v>
      </c>
      <c r="F132" s="856"/>
      <c r="G132" s="856">
        <v>384.52</v>
      </c>
      <c r="H132" s="856">
        <v>180.81</v>
      </c>
      <c r="I132" s="856">
        <v>338.71</v>
      </c>
    </row>
    <row r="133" spans="1:9" ht="15" customHeight="1" x14ac:dyDescent="0.25">
      <c r="A133" s="1598" t="s">
        <v>652</v>
      </c>
      <c r="B133" s="1599"/>
      <c r="C133" s="870">
        <v>325.24</v>
      </c>
      <c r="D133" s="856">
        <v>224.36</v>
      </c>
      <c r="E133" s="856">
        <v>305.31</v>
      </c>
      <c r="F133" s="856"/>
      <c r="G133" s="856">
        <v>343.72</v>
      </c>
      <c r="H133" s="856">
        <v>162.99</v>
      </c>
      <c r="I133" s="856">
        <v>302.95999999999998</v>
      </c>
    </row>
    <row r="134" spans="1:9" ht="15" customHeight="1" x14ac:dyDescent="0.25">
      <c r="A134" s="1598" t="s">
        <v>653</v>
      </c>
      <c r="B134" s="1599"/>
      <c r="C134" s="870">
        <v>77.11</v>
      </c>
      <c r="D134" s="856">
        <v>128.93</v>
      </c>
      <c r="E134" s="856">
        <v>83.71</v>
      </c>
      <c r="F134" s="856"/>
      <c r="G134" s="856">
        <v>402.76</v>
      </c>
      <c r="H134" s="856">
        <v>470</v>
      </c>
      <c r="I134" s="856">
        <v>417.06</v>
      </c>
    </row>
    <row r="135" spans="1:9" ht="15" customHeight="1" x14ac:dyDescent="0.25">
      <c r="A135" s="1598" t="s">
        <v>654</v>
      </c>
      <c r="B135" s="1599"/>
      <c r="C135" s="870">
        <v>72.39</v>
      </c>
      <c r="D135" s="856">
        <v>62.26</v>
      </c>
      <c r="E135" s="856">
        <v>72.14</v>
      </c>
      <c r="F135" s="856"/>
      <c r="G135" s="856">
        <v>88.26</v>
      </c>
      <c r="H135" s="856">
        <v>66.5</v>
      </c>
      <c r="I135" s="856">
        <v>87.44</v>
      </c>
    </row>
    <row r="136" spans="1:9" ht="15" customHeight="1" x14ac:dyDescent="0.25">
      <c r="A136" s="1600" t="s">
        <v>116</v>
      </c>
      <c r="B136" s="1601"/>
      <c r="C136" s="870">
        <v>680.16</v>
      </c>
      <c r="D136" s="856">
        <v>727.61</v>
      </c>
      <c r="E136" s="856">
        <v>693.72</v>
      </c>
      <c r="F136" s="856"/>
      <c r="G136" s="856">
        <v>666.04</v>
      </c>
      <c r="H136" s="856">
        <v>723.41</v>
      </c>
      <c r="I136" s="856">
        <v>682.43</v>
      </c>
    </row>
    <row r="137" spans="1:9" ht="15" customHeight="1" x14ac:dyDescent="0.25">
      <c r="A137" s="1598" t="s">
        <v>410</v>
      </c>
      <c r="B137" s="1599"/>
      <c r="C137" s="870">
        <v>495.78</v>
      </c>
      <c r="D137" s="856">
        <v>526.63</v>
      </c>
      <c r="E137" s="856">
        <v>504.59</v>
      </c>
      <c r="F137" s="856"/>
      <c r="G137" s="856">
        <v>486.53</v>
      </c>
      <c r="H137" s="856">
        <v>528.4</v>
      </c>
      <c r="I137" s="856">
        <v>498.49</v>
      </c>
    </row>
    <row r="138" spans="1:9" ht="15" customHeight="1" x14ac:dyDescent="0.25">
      <c r="A138" s="1598" t="s">
        <v>655</v>
      </c>
      <c r="B138" s="1599"/>
      <c r="C138" s="870">
        <v>120.42</v>
      </c>
      <c r="D138" s="856">
        <v>137.5</v>
      </c>
      <c r="E138" s="856">
        <v>125.31</v>
      </c>
      <c r="F138" s="856"/>
      <c r="G138" s="856">
        <v>119.38</v>
      </c>
      <c r="H138" s="856">
        <v>134.58000000000001</v>
      </c>
      <c r="I138" s="856">
        <v>123.72</v>
      </c>
    </row>
    <row r="139" spans="1:9" ht="15" customHeight="1" x14ac:dyDescent="0.25">
      <c r="A139" s="1598" t="s">
        <v>656</v>
      </c>
      <c r="B139" s="1599"/>
      <c r="C139" s="870">
        <v>64.62</v>
      </c>
      <c r="D139" s="856">
        <v>64.89</v>
      </c>
      <c r="E139" s="856">
        <v>64.7</v>
      </c>
      <c r="F139" s="856"/>
      <c r="G139" s="856">
        <v>60.58</v>
      </c>
      <c r="H139" s="856">
        <v>61.47</v>
      </c>
      <c r="I139" s="856">
        <v>60.84</v>
      </c>
    </row>
    <row r="140" spans="1:9" ht="15" customHeight="1" x14ac:dyDescent="0.25">
      <c r="A140" s="1598" t="s">
        <v>657</v>
      </c>
      <c r="B140" s="1599"/>
      <c r="C140" s="870">
        <v>36.049999999999997</v>
      </c>
      <c r="D140" s="856">
        <v>44.18</v>
      </c>
      <c r="E140" s="856">
        <v>37.590000000000003</v>
      </c>
      <c r="F140" s="856"/>
      <c r="G140" s="856">
        <v>42.32</v>
      </c>
      <c r="H140" s="856">
        <v>50.6</v>
      </c>
      <c r="I140" s="856">
        <v>43.95</v>
      </c>
    </row>
    <row r="141" spans="1:9" ht="15" customHeight="1" x14ac:dyDescent="0.25">
      <c r="A141" s="1600" t="s">
        <v>117</v>
      </c>
      <c r="B141" s="1601"/>
      <c r="C141" s="870">
        <v>312.11</v>
      </c>
      <c r="D141" s="856">
        <v>376</v>
      </c>
      <c r="E141" s="856">
        <v>330.49</v>
      </c>
      <c r="F141" s="856"/>
      <c r="G141" s="856">
        <v>346.59</v>
      </c>
      <c r="H141" s="856">
        <v>445.58</v>
      </c>
      <c r="I141" s="856">
        <v>374.97</v>
      </c>
    </row>
    <row r="142" spans="1:9" ht="15" customHeight="1" x14ac:dyDescent="0.25">
      <c r="A142" s="1598" t="s">
        <v>658</v>
      </c>
      <c r="B142" s="1599"/>
      <c r="C142" s="870">
        <v>244.19</v>
      </c>
      <c r="D142" s="856">
        <v>60</v>
      </c>
      <c r="E142" s="856">
        <v>231.79</v>
      </c>
      <c r="F142" s="856"/>
      <c r="G142" s="872"/>
      <c r="H142" s="872"/>
      <c r="I142" s="872"/>
    </row>
    <row r="143" spans="1:9" ht="15" customHeight="1" x14ac:dyDescent="0.25">
      <c r="A143" s="1598" t="s">
        <v>659</v>
      </c>
      <c r="B143" s="1599"/>
      <c r="C143" s="870">
        <v>174.1</v>
      </c>
      <c r="D143" s="856">
        <v>120.29</v>
      </c>
      <c r="E143" s="856">
        <v>157.08000000000001</v>
      </c>
      <c r="F143" s="856"/>
      <c r="G143" s="856">
        <v>161.91999999999999</v>
      </c>
      <c r="H143" s="856">
        <v>143.97999999999999</v>
      </c>
      <c r="I143" s="856">
        <v>156.07</v>
      </c>
    </row>
    <row r="144" spans="1:9" ht="15" customHeight="1" x14ac:dyDescent="0.25">
      <c r="A144" s="1598" t="s">
        <v>660</v>
      </c>
      <c r="B144" s="1599"/>
      <c r="C144" s="870">
        <v>63.08</v>
      </c>
      <c r="D144" s="856">
        <v>72.64</v>
      </c>
      <c r="E144" s="856">
        <v>67.81</v>
      </c>
      <c r="F144" s="856"/>
      <c r="G144" s="856">
        <v>73.349999999999994</v>
      </c>
      <c r="H144" s="856">
        <v>70.040000000000006</v>
      </c>
      <c r="I144" s="856">
        <v>71.61</v>
      </c>
    </row>
    <row r="145" spans="1:9" ht="15" customHeight="1" x14ac:dyDescent="0.25">
      <c r="A145" s="1598" t="s">
        <v>661</v>
      </c>
      <c r="B145" s="1599"/>
      <c r="C145" s="870">
        <v>83.81</v>
      </c>
      <c r="D145" s="856">
        <v>112.63</v>
      </c>
      <c r="E145" s="856">
        <v>92.7</v>
      </c>
      <c r="F145" s="856"/>
      <c r="G145" s="856">
        <v>85.46</v>
      </c>
      <c r="H145" s="856">
        <v>121.55</v>
      </c>
      <c r="I145" s="856">
        <v>96.44</v>
      </c>
    </row>
    <row r="146" spans="1:9" ht="15" customHeight="1" x14ac:dyDescent="0.25">
      <c r="A146" s="1598" t="s">
        <v>662</v>
      </c>
      <c r="B146" s="1599"/>
      <c r="C146" s="870">
        <v>113.5</v>
      </c>
      <c r="D146" s="856">
        <v>131.82</v>
      </c>
      <c r="E146" s="856">
        <v>120.55</v>
      </c>
      <c r="F146" s="856"/>
      <c r="G146" s="856">
        <v>133.47999999999999</v>
      </c>
      <c r="H146" s="856">
        <v>135.01</v>
      </c>
      <c r="I146" s="856">
        <v>134.29</v>
      </c>
    </row>
    <row r="147" spans="1:9" ht="15" customHeight="1" x14ac:dyDescent="0.25">
      <c r="A147" s="1598" t="s">
        <v>663</v>
      </c>
      <c r="B147" s="1599"/>
      <c r="C147" s="870">
        <v>91.67</v>
      </c>
      <c r="D147" s="856">
        <v>90.48</v>
      </c>
      <c r="E147" s="856">
        <v>91.31</v>
      </c>
      <c r="F147" s="856"/>
      <c r="G147" s="856">
        <v>90.55</v>
      </c>
      <c r="H147" s="856">
        <v>100.59</v>
      </c>
      <c r="I147" s="856">
        <v>93.46</v>
      </c>
    </row>
    <row r="148" spans="1:9" ht="15" customHeight="1" x14ac:dyDescent="0.25">
      <c r="A148" s="1598" t="s">
        <v>664</v>
      </c>
      <c r="B148" s="1599"/>
      <c r="C148" s="870">
        <v>85.16</v>
      </c>
      <c r="D148" s="856">
        <v>104.19</v>
      </c>
      <c r="E148" s="856">
        <v>91.92</v>
      </c>
      <c r="F148" s="856"/>
      <c r="G148" s="856">
        <v>91.91</v>
      </c>
      <c r="H148" s="856">
        <v>113.16</v>
      </c>
      <c r="I148" s="856">
        <v>99.59</v>
      </c>
    </row>
    <row r="149" spans="1:9" ht="15" customHeight="1" x14ac:dyDescent="0.25">
      <c r="A149" s="1598" t="s">
        <v>665</v>
      </c>
      <c r="B149" s="1599"/>
      <c r="C149" s="870">
        <v>140</v>
      </c>
      <c r="D149" s="856">
        <v>93.67</v>
      </c>
      <c r="E149" s="856">
        <v>110.74</v>
      </c>
      <c r="F149" s="856"/>
      <c r="G149" s="856">
        <v>258.74</v>
      </c>
      <c r="H149" s="856">
        <v>264.16000000000003</v>
      </c>
      <c r="I149" s="856">
        <v>260.88</v>
      </c>
    </row>
    <row r="150" spans="1:9" ht="15" customHeight="1" x14ac:dyDescent="0.25">
      <c r="A150" s="1598" t="s">
        <v>666</v>
      </c>
      <c r="B150" s="1599"/>
      <c r="C150" s="870">
        <v>90.29</v>
      </c>
      <c r="D150" s="856">
        <v>240</v>
      </c>
      <c r="E150" s="856">
        <v>98.81</v>
      </c>
      <c r="F150" s="856"/>
      <c r="G150" s="856">
        <v>36.44</v>
      </c>
      <c r="H150" s="856">
        <v>20.95</v>
      </c>
      <c r="I150" s="856">
        <v>27.5</v>
      </c>
    </row>
    <row r="151" spans="1:9" ht="15" customHeight="1" x14ac:dyDescent="0.25">
      <c r="A151" s="1598" t="s">
        <v>667</v>
      </c>
      <c r="B151" s="1599"/>
      <c r="C151" s="870">
        <v>95.7</v>
      </c>
      <c r="D151" s="856">
        <v>95.33</v>
      </c>
      <c r="E151" s="856">
        <v>95.61</v>
      </c>
      <c r="F151" s="856"/>
      <c r="G151" s="856">
        <v>166.21</v>
      </c>
      <c r="H151" s="856">
        <v>229.28</v>
      </c>
      <c r="I151" s="856">
        <v>184.37</v>
      </c>
    </row>
    <row r="152" spans="1:9" ht="15" customHeight="1" x14ac:dyDescent="0.25">
      <c r="A152" s="1598" t="s">
        <v>668</v>
      </c>
      <c r="B152" s="1599"/>
      <c r="C152" s="870">
        <v>79.92</v>
      </c>
      <c r="D152" s="856">
        <v>75.760000000000005</v>
      </c>
      <c r="E152" s="856">
        <v>78.75</v>
      </c>
      <c r="F152" s="856"/>
      <c r="G152" s="856">
        <v>97.04</v>
      </c>
      <c r="H152" s="856">
        <v>100.56</v>
      </c>
      <c r="I152" s="856">
        <v>98.02</v>
      </c>
    </row>
    <row r="153" spans="1:9" ht="15" customHeight="1" x14ac:dyDescent="0.25">
      <c r="A153" s="1598" t="s">
        <v>669</v>
      </c>
      <c r="B153" s="1599"/>
      <c r="C153" s="870">
        <v>65.94</v>
      </c>
      <c r="D153" s="856">
        <v>69.989999999999995</v>
      </c>
      <c r="E153" s="856">
        <v>67.13</v>
      </c>
      <c r="F153" s="856"/>
      <c r="G153" s="856">
        <v>109.78</v>
      </c>
      <c r="H153" s="856">
        <v>119.01</v>
      </c>
      <c r="I153" s="856">
        <v>112.8</v>
      </c>
    </row>
    <row r="154" spans="1:9" ht="15" customHeight="1" x14ac:dyDescent="0.25">
      <c r="A154" s="1598" t="s">
        <v>285</v>
      </c>
      <c r="B154" s="1599"/>
      <c r="C154" s="870">
        <v>76.42</v>
      </c>
      <c r="D154" s="856">
        <v>77.61</v>
      </c>
      <c r="E154" s="856">
        <v>76.78</v>
      </c>
      <c r="F154" s="856"/>
      <c r="G154" s="856">
        <v>63.67</v>
      </c>
      <c r="H154" s="856">
        <v>63.25</v>
      </c>
      <c r="I154" s="856">
        <v>63.54</v>
      </c>
    </row>
    <row r="155" spans="1:9" ht="15" customHeight="1" x14ac:dyDescent="0.25">
      <c r="A155" s="1598" t="s">
        <v>670</v>
      </c>
      <c r="B155" s="1599"/>
      <c r="C155" s="870">
        <v>163.63999999999999</v>
      </c>
      <c r="D155" s="856">
        <v>176.66</v>
      </c>
      <c r="E155" s="856">
        <v>167.34</v>
      </c>
      <c r="F155" s="856"/>
      <c r="G155" s="856">
        <v>172.12</v>
      </c>
      <c r="H155" s="856">
        <v>193.46</v>
      </c>
      <c r="I155" s="856">
        <v>178.23</v>
      </c>
    </row>
    <row r="156" spans="1:9" ht="15" customHeight="1" x14ac:dyDescent="0.25">
      <c r="A156" s="1598" t="s">
        <v>671</v>
      </c>
      <c r="B156" s="1599"/>
      <c r="C156" s="870">
        <v>45.8</v>
      </c>
      <c r="D156" s="856">
        <v>55.13</v>
      </c>
      <c r="E156" s="856">
        <v>49.14</v>
      </c>
      <c r="F156" s="856"/>
      <c r="G156" s="856">
        <v>48.41</v>
      </c>
      <c r="H156" s="856">
        <v>63.62</v>
      </c>
      <c r="I156" s="856">
        <v>53.48</v>
      </c>
    </row>
    <row r="157" spans="1:9" ht="15" customHeight="1" x14ac:dyDescent="0.25">
      <c r="A157" s="1598" t="s">
        <v>672</v>
      </c>
      <c r="B157" s="1599"/>
      <c r="C157" s="870">
        <v>38.56</v>
      </c>
      <c r="D157" s="856">
        <v>47.1</v>
      </c>
      <c r="E157" s="856">
        <v>41.41</v>
      </c>
      <c r="F157" s="856"/>
      <c r="G157" s="856">
        <v>46.18</v>
      </c>
      <c r="H157" s="856">
        <v>45.74</v>
      </c>
      <c r="I157" s="856">
        <v>46.01</v>
      </c>
    </row>
    <row r="158" spans="1:9" ht="15" customHeight="1" x14ac:dyDescent="0.25">
      <c r="A158" s="1598" t="s">
        <v>673</v>
      </c>
      <c r="B158" s="1599"/>
      <c r="C158" s="870">
        <v>38.19</v>
      </c>
      <c r="D158" s="856">
        <v>48.91</v>
      </c>
      <c r="E158" s="856">
        <v>42.49</v>
      </c>
      <c r="F158" s="856"/>
      <c r="G158" s="856">
        <v>38.729999999999997</v>
      </c>
      <c r="H158" s="856">
        <v>54.62</v>
      </c>
      <c r="I158" s="856">
        <v>44.71</v>
      </c>
    </row>
    <row r="159" spans="1:9" ht="15" customHeight="1" x14ac:dyDescent="0.25">
      <c r="A159" s="1598" t="s">
        <v>674</v>
      </c>
      <c r="B159" s="1599"/>
      <c r="C159" s="870">
        <v>32.69</v>
      </c>
      <c r="D159" s="856">
        <v>70.25</v>
      </c>
      <c r="E159" s="856">
        <v>49.6</v>
      </c>
      <c r="F159" s="856"/>
      <c r="G159" s="856">
        <v>37.39</v>
      </c>
      <c r="H159" s="856">
        <v>58.97</v>
      </c>
      <c r="I159" s="856">
        <v>45.26</v>
      </c>
    </row>
    <row r="160" spans="1:9" ht="15" customHeight="1" x14ac:dyDescent="0.25">
      <c r="A160" s="1598" t="s">
        <v>675</v>
      </c>
      <c r="B160" s="1599"/>
      <c r="C160" s="870">
        <v>119.01</v>
      </c>
      <c r="D160" s="856">
        <v>136.96</v>
      </c>
      <c r="E160" s="856">
        <v>131.34</v>
      </c>
      <c r="F160" s="856"/>
      <c r="G160" s="856">
        <v>131.02000000000001</v>
      </c>
      <c r="H160" s="856">
        <v>113.84</v>
      </c>
      <c r="I160" s="856">
        <v>119.11</v>
      </c>
    </row>
    <row r="161" spans="1:9" ht="15" customHeight="1" x14ac:dyDescent="0.25">
      <c r="A161" s="1600" t="s">
        <v>676</v>
      </c>
      <c r="B161" s="1601"/>
      <c r="C161" s="870">
        <v>27.85</v>
      </c>
      <c r="D161" s="856">
        <v>30.26</v>
      </c>
      <c r="E161" s="856">
        <v>28.49</v>
      </c>
      <c r="F161" s="856"/>
      <c r="G161" s="856">
        <v>33.049999999999997</v>
      </c>
      <c r="H161" s="856">
        <v>37.85</v>
      </c>
      <c r="I161" s="856">
        <v>34.32</v>
      </c>
    </row>
    <row r="162" spans="1:9" ht="15" customHeight="1" x14ac:dyDescent="0.25">
      <c r="A162" s="1615" t="s">
        <v>274</v>
      </c>
      <c r="B162" s="1615"/>
      <c r="C162" s="859">
        <v>1938</v>
      </c>
      <c r="D162" s="859">
        <v>1810</v>
      </c>
      <c r="E162" s="859">
        <v>3748</v>
      </c>
      <c r="F162" s="859"/>
      <c r="G162" s="859">
        <v>1742</v>
      </c>
      <c r="H162" s="859">
        <v>1625</v>
      </c>
      <c r="I162" s="860">
        <v>3367</v>
      </c>
    </row>
  </sheetData>
  <mergeCells count="156">
    <mergeCell ref="A158:B158"/>
    <mergeCell ref="A159:B159"/>
    <mergeCell ref="A160:B160"/>
    <mergeCell ref="A161:B161"/>
    <mergeCell ref="A162:B162"/>
    <mergeCell ref="A152:B152"/>
    <mergeCell ref="A153:B153"/>
    <mergeCell ref="A154:B154"/>
    <mergeCell ref="A155:B155"/>
    <mergeCell ref="A156:B156"/>
    <mergeCell ref="A157:B157"/>
    <mergeCell ref="A146:B146"/>
    <mergeCell ref="A147:B147"/>
    <mergeCell ref="A148:B148"/>
    <mergeCell ref="A149:B149"/>
    <mergeCell ref="A150:B150"/>
    <mergeCell ref="A151:B151"/>
    <mergeCell ref="A140:B140"/>
    <mergeCell ref="A141:B141"/>
    <mergeCell ref="A142:B142"/>
    <mergeCell ref="A143:B143"/>
    <mergeCell ref="A144:B144"/>
    <mergeCell ref="A145:B145"/>
    <mergeCell ref="A134:B134"/>
    <mergeCell ref="A135:B135"/>
    <mergeCell ref="A136:B136"/>
    <mergeCell ref="A137:B137"/>
    <mergeCell ref="A138:B138"/>
    <mergeCell ref="A139:B139"/>
    <mergeCell ref="A128:B128"/>
    <mergeCell ref="A129:B129"/>
    <mergeCell ref="A130:B130"/>
    <mergeCell ref="A131:B131"/>
    <mergeCell ref="A132:B132"/>
    <mergeCell ref="A133:B133"/>
    <mergeCell ref="A122:B122"/>
    <mergeCell ref="A123:B123"/>
    <mergeCell ref="A124:B124"/>
    <mergeCell ref="A125:B125"/>
    <mergeCell ref="A126:B126"/>
    <mergeCell ref="A127:B127"/>
    <mergeCell ref="A116:B116"/>
    <mergeCell ref="A117:B117"/>
    <mergeCell ref="A118:B118"/>
    <mergeCell ref="A119:B119"/>
    <mergeCell ref="A120:B120"/>
    <mergeCell ref="A121:B121"/>
    <mergeCell ref="A106:B106"/>
    <mergeCell ref="A107:B107"/>
    <mergeCell ref="A112:I112"/>
    <mergeCell ref="A113:I113"/>
    <mergeCell ref="A114:B115"/>
    <mergeCell ref="C114:E114"/>
    <mergeCell ref="G114:I114"/>
    <mergeCell ref="A100:B100"/>
    <mergeCell ref="A101:B101"/>
    <mergeCell ref="A102:B102"/>
    <mergeCell ref="A103:B103"/>
    <mergeCell ref="A104:B104"/>
    <mergeCell ref="A105:B105"/>
    <mergeCell ref="A94:B94"/>
    <mergeCell ref="A95:B95"/>
    <mergeCell ref="A96:B96"/>
    <mergeCell ref="A97:B97"/>
    <mergeCell ref="A98:B98"/>
    <mergeCell ref="A99:B99"/>
    <mergeCell ref="A88:B88"/>
    <mergeCell ref="A89:B89"/>
    <mergeCell ref="A90:B90"/>
    <mergeCell ref="A91:B91"/>
    <mergeCell ref="A92:B92"/>
    <mergeCell ref="A93:B93"/>
    <mergeCell ref="A82:B82"/>
    <mergeCell ref="A83:B83"/>
    <mergeCell ref="A84:B84"/>
    <mergeCell ref="A85:B85"/>
    <mergeCell ref="A86:B86"/>
    <mergeCell ref="A87:B87"/>
    <mergeCell ref="A76:B76"/>
    <mergeCell ref="A77:B77"/>
    <mergeCell ref="A78:B78"/>
    <mergeCell ref="A79:B79"/>
    <mergeCell ref="A80:B80"/>
    <mergeCell ref="A81:B81"/>
    <mergeCell ref="A70:B70"/>
    <mergeCell ref="A71:B71"/>
    <mergeCell ref="A72:B72"/>
    <mergeCell ref="A73:B73"/>
    <mergeCell ref="A74:B74"/>
    <mergeCell ref="A75:B75"/>
    <mergeCell ref="A64:B64"/>
    <mergeCell ref="A65:B65"/>
    <mergeCell ref="A66:B66"/>
    <mergeCell ref="A67:B67"/>
    <mergeCell ref="A68:B68"/>
    <mergeCell ref="A69:B69"/>
    <mergeCell ref="A59:B60"/>
    <mergeCell ref="C59:E59"/>
    <mergeCell ref="G59:I59"/>
    <mergeCell ref="A61:B61"/>
    <mergeCell ref="A62:B62"/>
    <mergeCell ref="A63:B63"/>
    <mergeCell ref="A49:B49"/>
    <mergeCell ref="A50:B50"/>
    <mergeCell ref="A51:B51"/>
    <mergeCell ref="A52:B52"/>
    <mergeCell ref="A57:I57"/>
    <mergeCell ref="A58:I58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A7:B7"/>
    <mergeCell ref="A8:B8"/>
    <mergeCell ref="A9:B9"/>
    <mergeCell ref="A10:B10"/>
    <mergeCell ref="A11:B11"/>
    <mergeCell ref="A12:B12"/>
    <mergeCell ref="A2:I2"/>
    <mergeCell ref="A3:I3"/>
    <mergeCell ref="A4:B5"/>
    <mergeCell ref="C4:E4"/>
    <mergeCell ref="G4:I4"/>
    <mergeCell ref="A6:B6"/>
  </mergeCells>
  <pageMargins left="0.2" right="0.2" top="0.25" bottom="0.25" header="0.3" footer="0.3"/>
  <pageSetup paperSize="9" scale="77" fitToHeight="3" orientation="portrait" horizontalDpi="4294967295" verticalDpi="4294967295" r:id="rId1"/>
  <rowBreaks count="2" manualBreakCount="2">
    <brk id="54" max="16383" man="1"/>
    <brk id="109" max="1638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3:I53"/>
  <sheetViews>
    <sheetView zoomScaleNormal="100" workbookViewId="0"/>
  </sheetViews>
  <sheetFormatPr defaultRowHeight="15" x14ac:dyDescent="0.25"/>
  <cols>
    <col min="1" max="1" width="21.85546875" style="339" customWidth="1"/>
    <col min="2" max="2" width="26.7109375" style="339" customWidth="1"/>
    <col min="3" max="3" width="12.85546875" style="339" customWidth="1"/>
    <col min="4" max="4" width="13.7109375" style="339" customWidth="1"/>
    <col min="5" max="5" width="12.140625" style="339" customWidth="1"/>
    <col min="6" max="6" width="1.7109375" style="339" customWidth="1"/>
    <col min="7" max="7" width="12.42578125" style="339" customWidth="1"/>
    <col min="8" max="8" width="13.140625" style="339" customWidth="1"/>
    <col min="9" max="9" width="11.28515625" style="339" customWidth="1"/>
    <col min="10" max="16384" width="9.140625" style="339"/>
  </cols>
  <sheetData>
    <row r="3" spans="1:9" ht="34.5" customHeight="1" x14ac:dyDescent="0.25">
      <c r="A3" s="1602" t="s">
        <v>688</v>
      </c>
      <c r="B3" s="1603"/>
      <c r="C3" s="1603"/>
      <c r="D3" s="1603"/>
      <c r="E3" s="1603"/>
      <c r="F3" s="1603"/>
      <c r="G3" s="1603"/>
      <c r="H3" s="1603"/>
      <c r="I3" s="1603"/>
    </row>
    <row r="4" spans="1:9" x14ac:dyDescent="0.25">
      <c r="A4" s="1604"/>
      <c r="B4" s="1604"/>
      <c r="C4" s="1604"/>
      <c r="D4" s="1604"/>
      <c r="E4" s="1604"/>
      <c r="F4" s="1604"/>
      <c r="G4" s="1604"/>
      <c r="H4" s="1604"/>
      <c r="I4" s="1604"/>
    </row>
    <row r="5" spans="1:9" ht="15" customHeight="1" x14ac:dyDescent="0.25">
      <c r="A5" s="1605"/>
      <c r="B5" s="1606"/>
      <c r="C5" s="1609" t="s">
        <v>11</v>
      </c>
      <c r="D5" s="1610"/>
      <c r="E5" s="1611"/>
      <c r="F5" s="849"/>
      <c r="G5" s="1612" t="s">
        <v>12</v>
      </c>
      <c r="H5" s="1612"/>
      <c r="I5" s="1612"/>
    </row>
    <row r="6" spans="1:9" ht="15" customHeight="1" x14ac:dyDescent="0.25">
      <c r="A6" s="1607"/>
      <c r="B6" s="1608"/>
      <c r="C6" s="850" t="s">
        <v>276</v>
      </c>
      <c r="D6" s="851" t="s">
        <v>273</v>
      </c>
      <c r="E6" s="851" t="s">
        <v>280</v>
      </c>
      <c r="F6" s="852"/>
      <c r="G6" s="851" t="s">
        <v>276</v>
      </c>
      <c r="H6" s="851" t="s">
        <v>273</v>
      </c>
      <c r="I6" s="851" t="s">
        <v>280</v>
      </c>
    </row>
    <row r="7" spans="1:9" ht="15" customHeight="1" x14ac:dyDescent="0.25">
      <c r="A7" s="1613" t="s">
        <v>113</v>
      </c>
      <c r="B7" s="1614"/>
      <c r="C7" s="853" t="str">
        <f>TEXT('Tabele P.1 do P.3'!C6/1440,"hh:mm")</f>
        <v>02:57</v>
      </c>
      <c r="D7" s="853" t="str">
        <f>TEXT('Tabele P.1 do P.3'!D6/1440,"hh:mm")</f>
        <v>00:58</v>
      </c>
      <c r="E7" s="853" t="str">
        <f>TEXT('Tabele P.1 do P.3'!E6/1440,"hh:mm")</f>
        <v>02:23</v>
      </c>
      <c r="F7" s="854"/>
      <c r="G7" s="853" t="str">
        <f>TEXT('Tabele P.1 do P.3'!G6/1440,"hh:mm")</f>
        <v>04:43</v>
      </c>
      <c r="H7" s="853" t="str">
        <f>TEXT('Tabele P.1 do P.3'!H6/1440,"hh:mm")</f>
        <v>01:59</v>
      </c>
      <c r="I7" s="853" t="str">
        <f>TEXT('Tabele P.1 do P.3'!I6/1440,"hh:mm")</f>
        <v>03:56</v>
      </c>
    </row>
    <row r="8" spans="1:9" ht="15" customHeight="1" x14ac:dyDescent="0.25">
      <c r="A8" s="1598" t="s">
        <v>648</v>
      </c>
      <c r="B8" s="1599"/>
      <c r="C8" s="855" t="str">
        <f>TEXT('Tabele P.1 do P.3'!C7/1440,"hh:mm")</f>
        <v>02:33</v>
      </c>
      <c r="D8" s="855" t="str">
        <f>TEXT('Tabele P.1 do P.3'!D7/1440,"hh:mm")</f>
        <v>00:51</v>
      </c>
      <c r="E8" s="855" t="str">
        <f>TEXT('Tabele P.1 do P.3'!E7/1440,"hh:mm")</f>
        <v>02:04</v>
      </c>
      <c r="F8" s="856"/>
      <c r="G8" s="855" t="str">
        <f>TEXT('Tabele P.1 do P.3'!G7/1440,"hh:mm")</f>
        <v>04:10</v>
      </c>
      <c r="H8" s="855" t="str">
        <f>TEXT('Tabele P.1 do P.3'!H7/1440,"hh:mm")</f>
        <v>01:46</v>
      </c>
      <c r="I8" s="855" t="str">
        <f>TEXT('Tabele P.1 do P.3'!I7/1440,"hh:mm")</f>
        <v>03:29</v>
      </c>
    </row>
    <row r="9" spans="1:9" ht="15" customHeight="1" x14ac:dyDescent="0.25">
      <c r="A9" s="1598" t="s">
        <v>649</v>
      </c>
      <c r="B9" s="1599"/>
      <c r="C9" s="855" t="str">
        <f>TEXT('Tabele P.1 do P.3'!C8/1440,"hh:mm")</f>
        <v>00:02</v>
      </c>
      <c r="D9" s="855" t="str">
        <f>TEXT('Tabele P.1 do P.3'!D8/1440,"hh:mm")</f>
        <v>00:01</v>
      </c>
      <c r="E9" s="855" t="str">
        <f>TEXT('Tabele P.1 do P.3'!E8/1440,"hh:mm")</f>
        <v>00:02</v>
      </c>
      <c r="F9" s="856"/>
      <c r="G9" s="855" t="str">
        <f>TEXT('Tabele P.1 do P.3'!G8/1440,"hh:mm")</f>
        <v>00:03</v>
      </c>
      <c r="H9" s="855" t="str">
        <f>TEXT('Tabele P.1 do P.3'!H8/1440,"hh:mm")</f>
        <v>00:01</v>
      </c>
      <c r="I9" s="855" t="str">
        <f>TEXT('Tabele P.1 do P.3'!I8/1440,"hh:mm")</f>
        <v>00:03</v>
      </c>
    </row>
    <row r="10" spans="1:9" ht="15" customHeight="1" x14ac:dyDescent="0.25">
      <c r="A10" s="1598" t="s">
        <v>650</v>
      </c>
      <c r="B10" s="1599"/>
      <c r="C10" s="855" t="str">
        <f>TEXT('Tabele P.1 do P.3'!C9/1440,"hh:mm")</f>
        <v>00:20</v>
      </c>
      <c r="D10" s="855" t="str">
        <f>TEXT('Tabele P.1 do P.3'!D9/1440,"hh:mm")</f>
        <v>00:05</v>
      </c>
      <c r="E10" s="855" t="str">
        <f>TEXT('Tabele P.1 do P.3'!E9/1440,"hh:mm")</f>
        <v>00:16</v>
      </c>
      <c r="F10" s="856"/>
      <c r="G10" s="855" t="str">
        <f>TEXT('Tabele P.1 do P.3'!G9/1440,"hh:mm")</f>
        <v>00:29</v>
      </c>
      <c r="H10" s="855" t="str">
        <f>TEXT('Tabele P.1 do P.3'!H9/1440,"hh:mm")</f>
        <v>00:12</v>
      </c>
      <c r="I10" s="855" t="str">
        <f>TEXT('Tabele P.1 do P.3'!I9/1440,"hh:mm")</f>
        <v>00:24</v>
      </c>
    </row>
    <row r="11" spans="1:9" ht="15" customHeight="1" x14ac:dyDescent="0.25">
      <c r="A11" s="1600" t="s">
        <v>114</v>
      </c>
      <c r="B11" s="1601"/>
      <c r="C11" s="855" t="str">
        <f>TEXT('Tabele P.1 do P.3'!C10/1440,"hh:mm")</f>
        <v>04:02</v>
      </c>
      <c r="D11" s="855" t="str">
        <f>TEXT('Tabele P.1 do P.3'!D10/1440,"hh:mm")</f>
        <v>04:25</v>
      </c>
      <c r="E11" s="855" t="str">
        <f>TEXT('Tabele P.1 do P.3'!E10/1440,"hh:mm")</f>
        <v>04:09</v>
      </c>
      <c r="F11" s="856"/>
      <c r="G11" s="855" t="str">
        <f>TEXT('Tabele P.1 do P.3'!G10/1440,"hh:mm")</f>
        <v>01:55</v>
      </c>
      <c r="H11" s="855" t="str">
        <f>TEXT('Tabele P.1 do P.3'!H10/1440,"hh:mm")</f>
        <v>02:21</v>
      </c>
      <c r="I11" s="855" t="str">
        <f>TEXT('Tabele P.1 do P.3'!I10/1440,"hh:mm")</f>
        <v>02:03</v>
      </c>
    </row>
    <row r="12" spans="1:9" ht="15" customHeight="1" x14ac:dyDescent="0.25">
      <c r="A12" s="1598" t="s">
        <v>74</v>
      </c>
      <c r="B12" s="1599"/>
      <c r="C12" s="855" t="str">
        <f>TEXT('Tabele P.1 do P.3'!C11/1440,"hh:mm")</f>
        <v>01:50</v>
      </c>
      <c r="D12" s="855" t="str">
        <f>TEXT('Tabele P.1 do P.3'!D11/1440,"hh:mm")</f>
        <v>02:06</v>
      </c>
      <c r="E12" s="855" t="str">
        <f>TEXT('Tabele P.1 do P.3'!E11/1440,"hh:mm")</f>
        <v>01:55</v>
      </c>
      <c r="F12" s="856"/>
      <c r="G12" s="855" t="str">
        <f>TEXT('Tabele P.1 do P.3'!G11/1440,"hh:mm")</f>
        <v>00:17</v>
      </c>
      <c r="H12" s="855" t="str">
        <f>TEXT('Tabele P.1 do P.3'!H11/1440,"hh:mm")</f>
        <v>00:20</v>
      </c>
      <c r="I12" s="855" t="str">
        <f>TEXT('Tabele P.1 do P.3'!I11/1440,"hh:mm")</f>
        <v>00:18</v>
      </c>
    </row>
    <row r="13" spans="1:9" ht="15" customHeight="1" x14ac:dyDescent="0.25">
      <c r="A13" s="1598" t="s">
        <v>69</v>
      </c>
      <c r="B13" s="1599"/>
      <c r="C13" s="855" t="str">
        <f>TEXT('Tabele P.1 do P.3'!C12/1440,"hh:mm")</f>
        <v>00:40</v>
      </c>
      <c r="D13" s="855" t="str">
        <f>TEXT('Tabele P.1 do P.3'!D12/1440,"hh:mm")</f>
        <v>00:49</v>
      </c>
      <c r="E13" s="855" t="str">
        <f>TEXT('Tabele P.1 do P.3'!E12/1440,"hh:mm")</f>
        <v>00:42</v>
      </c>
      <c r="F13" s="856"/>
      <c r="G13" s="855" t="str">
        <f>TEXT('Tabele P.1 do P.3'!G12/1440,"hh:mm")</f>
        <v>00:24</v>
      </c>
      <c r="H13" s="855" t="str">
        <f>TEXT('Tabele P.1 do P.3'!H12/1440,"hh:mm")</f>
        <v>00:34</v>
      </c>
      <c r="I13" s="855" t="str">
        <f>TEXT('Tabele P.1 do P.3'!I12/1440,"hh:mm")</f>
        <v>00:27</v>
      </c>
    </row>
    <row r="14" spans="1:9" ht="15" customHeight="1" x14ac:dyDescent="0.25">
      <c r="A14" s="1598" t="s">
        <v>70</v>
      </c>
      <c r="B14" s="1599"/>
      <c r="C14" s="855" t="str">
        <f>TEXT('Tabele P.1 do P.3'!C13/1440,"hh:mm")</f>
        <v>00:14</v>
      </c>
      <c r="D14" s="855" t="str">
        <f>TEXT('Tabele P.1 do P.3'!D13/1440,"hh:mm")</f>
        <v>00:14</v>
      </c>
      <c r="E14" s="855" t="str">
        <f>TEXT('Tabele P.1 do P.3'!E13/1440,"hh:mm")</f>
        <v>00:14</v>
      </c>
      <c r="F14" s="856"/>
      <c r="G14" s="855" t="str">
        <f>TEXT('Tabele P.1 do P.3'!G13/1440,"hh:mm")</f>
        <v>00:00</v>
      </c>
      <c r="H14" s="855" t="str">
        <f>TEXT('Tabele P.1 do P.3'!H13/1440,"hh:mm")</f>
        <v>00:00</v>
      </c>
      <c r="I14" s="855" t="str">
        <f>TEXT('Tabele P.1 do P.3'!I13/1440,"hh:mm")</f>
        <v>00:00</v>
      </c>
    </row>
    <row r="15" spans="1:9" ht="15" customHeight="1" x14ac:dyDescent="0.25">
      <c r="A15" s="1598" t="s">
        <v>76</v>
      </c>
      <c r="B15" s="1599"/>
      <c r="C15" s="855" t="str">
        <f>TEXT('Tabele P.1 do P.3'!C14/1440,"hh:mm")</f>
        <v>00:17</v>
      </c>
      <c r="D15" s="855" t="str">
        <f>TEXT('Tabele P.1 do P.3'!D14/1440,"hh:mm")</f>
        <v>00:17</v>
      </c>
      <c r="E15" s="855" t="str">
        <f>TEXT('Tabele P.1 do P.3'!E14/1440,"hh:mm")</f>
        <v>00:17</v>
      </c>
      <c r="F15" s="856"/>
      <c r="G15" s="855" t="str">
        <f>TEXT('Tabele P.1 do P.3'!G14/1440,"hh:mm")</f>
        <v>00:22</v>
      </c>
      <c r="H15" s="855" t="str">
        <f>TEXT('Tabele P.1 do P.3'!H14/1440,"hh:mm")</f>
        <v>00:26</v>
      </c>
      <c r="I15" s="855" t="str">
        <f>TEXT('Tabele P.1 do P.3'!I14/1440,"hh:mm")</f>
        <v>00:23</v>
      </c>
    </row>
    <row r="16" spans="1:9" ht="15" customHeight="1" x14ac:dyDescent="0.25">
      <c r="A16" s="1598" t="s">
        <v>234</v>
      </c>
      <c r="B16" s="1599"/>
      <c r="C16" s="855" t="str">
        <f>TEXT('Tabele P.1 do P.3'!C15/1440,"hh:mm")</f>
        <v>00:00</v>
      </c>
      <c r="D16" s="855" t="str">
        <f>TEXT('Tabele P.1 do P.3'!D15/1440,"hh:mm")</f>
        <v>00:01</v>
      </c>
      <c r="E16" s="855" t="str">
        <f>TEXT('Tabele P.1 do P.3'!E15/1440,"hh:mm")</f>
        <v>00:00</v>
      </c>
      <c r="F16" s="857"/>
      <c r="G16" s="855" t="str">
        <f>TEXT('Tabele P.1 do P.3'!G15/1440,"hh:mm")</f>
        <v>00:09</v>
      </c>
      <c r="H16" s="855" t="str">
        <f>TEXT('Tabele P.1 do P.3'!H15/1440,"hh:mm")</f>
        <v>00:14</v>
      </c>
      <c r="I16" s="855" t="str">
        <f>TEXT('Tabele P.1 do P.3'!I15/1440,"hh:mm")</f>
        <v>00:10</v>
      </c>
    </row>
    <row r="17" spans="1:9" ht="15" customHeight="1" x14ac:dyDescent="0.25">
      <c r="A17" s="1598" t="s">
        <v>72</v>
      </c>
      <c r="B17" s="1599"/>
      <c r="C17" s="855" t="str">
        <f>TEXT('Tabele P.1 do P.3'!C16/1440,"hh:mm")</f>
        <v>00:15</v>
      </c>
      <c r="D17" s="855" t="str">
        <f>TEXT('Tabele P.1 do P.3'!D16/1440,"hh:mm")</f>
        <v>00:17</v>
      </c>
      <c r="E17" s="855" t="str">
        <f>TEXT('Tabele P.1 do P.3'!E16/1440,"hh:mm")</f>
        <v>00:16</v>
      </c>
      <c r="F17" s="856"/>
      <c r="G17" s="855" t="str">
        <f>TEXT('Tabele P.1 do P.3'!G16/1440,"hh:mm")</f>
        <v>00:14</v>
      </c>
      <c r="H17" s="855" t="str">
        <f>TEXT('Tabele P.1 do P.3'!H16/1440,"hh:mm")</f>
        <v>00:15</v>
      </c>
      <c r="I17" s="855" t="str">
        <f>TEXT('Tabele P.1 do P.3'!I16/1440,"hh:mm")</f>
        <v>00:14</v>
      </c>
    </row>
    <row r="18" spans="1:9" ht="15" customHeight="1" x14ac:dyDescent="0.25">
      <c r="A18" s="1598" t="s">
        <v>235</v>
      </c>
      <c r="B18" s="1599"/>
      <c r="C18" s="855" t="str">
        <f>TEXT('Tabele P.1 do P.3'!C17/1440,"hh:mm")</f>
        <v>00:00</v>
      </c>
      <c r="D18" s="855" t="str">
        <f>TEXT('Tabele P.1 do P.3'!D17/1440,"hh:mm")</f>
        <v>00:00</v>
      </c>
      <c r="E18" s="855" t="str">
        <f>TEXT('Tabele P.1 do P.3'!E17/1440,"hh:mm")</f>
        <v>00:00</v>
      </c>
      <c r="F18" s="857"/>
      <c r="G18" s="855" t="str">
        <f>TEXT('Tabele P.1 do P.3'!G17/1440,"hh:mm")</f>
        <v>00:00</v>
      </c>
      <c r="H18" s="855" t="str">
        <f>TEXT('Tabele P.1 do P.3'!H17/1440,"hh:mm")</f>
        <v>00:00</v>
      </c>
      <c r="I18" s="855" t="str">
        <f>TEXT('Tabele P.1 do P.3'!I17/1440,"hh:mm")</f>
        <v>00:00</v>
      </c>
    </row>
    <row r="19" spans="1:9" ht="15" customHeight="1" x14ac:dyDescent="0.25">
      <c r="A19" s="1598" t="s">
        <v>71</v>
      </c>
      <c r="B19" s="1599"/>
      <c r="C19" s="855" t="str">
        <f>TEXT('Tabele P.1 do P.3'!C18/1440,"hh:mm")</f>
        <v>00:25</v>
      </c>
      <c r="D19" s="855" t="str">
        <f>TEXT('Tabele P.1 do P.3'!D18/1440,"hh:mm")</f>
        <v>00:23</v>
      </c>
      <c r="E19" s="855" t="str">
        <f>TEXT('Tabele P.1 do P.3'!E18/1440,"hh:mm")</f>
        <v>00:25</v>
      </c>
      <c r="F19" s="856"/>
      <c r="G19" s="855" t="str">
        <f>TEXT('Tabele P.1 do P.3'!G18/1440,"hh:mm")</f>
        <v>00:10</v>
      </c>
      <c r="H19" s="855" t="str">
        <f>TEXT('Tabele P.1 do P.3'!H18/1440,"hh:mm")</f>
        <v>00:11</v>
      </c>
      <c r="I19" s="855" t="str">
        <f>TEXT('Tabele P.1 do P.3'!I18/1440,"hh:mm")</f>
        <v>00:10</v>
      </c>
    </row>
    <row r="20" spans="1:9" ht="15" customHeight="1" x14ac:dyDescent="0.25">
      <c r="A20" s="1598" t="s">
        <v>236</v>
      </c>
      <c r="B20" s="1599"/>
      <c r="C20" s="855" t="str">
        <f>TEXT('Tabele P.1 do P.3'!C19/1440,"hh:mm")</f>
        <v>00:02</v>
      </c>
      <c r="D20" s="855" t="str">
        <f>TEXT('Tabele P.1 do P.3'!D19/1440,"hh:mm")</f>
        <v>00:02</v>
      </c>
      <c r="E20" s="855" t="str">
        <f>TEXT('Tabele P.1 do P.3'!E19/1440,"hh:mm")</f>
        <v>00:02</v>
      </c>
      <c r="F20" s="856"/>
      <c r="G20" s="855" t="str">
        <f>TEXT('Tabele P.1 do P.3'!G19/1440,"hh:mm")</f>
        <v>00:01</v>
      </c>
      <c r="H20" s="855" t="str">
        <f>TEXT('Tabele P.1 do P.3'!H19/1440,"hh:mm")</f>
        <v>00:01</v>
      </c>
      <c r="I20" s="855" t="str">
        <f>TEXT('Tabele P.1 do P.3'!I19/1440,"hh:mm")</f>
        <v>00:01</v>
      </c>
    </row>
    <row r="21" spans="1:9" ht="15" customHeight="1" x14ac:dyDescent="0.25">
      <c r="A21" s="1598" t="s">
        <v>651</v>
      </c>
      <c r="B21" s="1599"/>
      <c r="C21" s="855" t="str">
        <f>TEXT('Tabele P.1 do P.3'!C20/1440,"hh:mm")</f>
        <v>00:00</v>
      </c>
      <c r="D21" s="855" t="str">
        <f>TEXT('Tabele P.1 do P.3'!D20/1440,"hh:mm")</f>
        <v>00:00</v>
      </c>
      <c r="E21" s="855" t="str">
        <f>TEXT('Tabele P.1 do P.3'!E20/1440,"hh:mm")</f>
        <v>00:00</v>
      </c>
      <c r="F21" s="857"/>
      <c r="G21" s="855" t="str">
        <f>TEXT('Tabele P.1 do P.3'!G20/1440,"hh:mm")</f>
        <v>00:00</v>
      </c>
      <c r="H21" s="855" t="str">
        <f>TEXT('Tabele P.1 do P.3'!H20/1440,"hh:mm")</f>
        <v>00:01</v>
      </c>
      <c r="I21" s="855" t="str">
        <f>TEXT('Tabele P.1 do P.3'!I20/1440,"hh:mm")</f>
        <v>00:00</v>
      </c>
    </row>
    <row r="22" spans="1:9" ht="15" customHeight="1" x14ac:dyDescent="0.25">
      <c r="A22" s="1598" t="s">
        <v>73</v>
      </c>
      <c r="B22" s="1599"/>
      <c r="C22" s="855" t="str">
        <f>TEXT('Tabele P.1 do P.3'!C21/1440,"hh:mm")</f>
        <v>00:15</v>
      </c>
      <c r="D22" s="855" t="str">
        <f>TEXT('Tabele P.1 do P.3'!D21/1440,"hh:mm")</f>
        <v>00:13</v>
      </c>
      <c r="E22" s="855" t="str">
        <f>TEXT('Tabele P.1 do P.3'!E21/1440,"hh:mm")</f>
        <v>00:14</v>
      </c>
      <c r="F22" s="856"/>
      <c r="G22" s="855" t="str">
        <f>TEXT('Tabele P.1 do P.3'!G21/1440,"hh:mm")</f>
        <v>00:14</v>
      </c>
      <c r="H22" s="855" t="str">
        <f>TEXT('Tabele P.1 do P.3'!H21/1440,"hh:mm")</f>
        <v>00:15</v>
      </c>
      <c r="I22" s="855" t="str">
        <f>TEXT('Tabele P.1 do P.3'!I21/1440,"hh:mm")</f>
        <v>00:14</v>
      </c>
    </row>
    <row r="23" spans="1:9" ht="15" customHeight="1" x14ac:dyDescent="0.25">
      <c r="A23" s="1600" t="s">
        <v>115</v>
      </c>
      <c r="B23" s="1601"/>
      <c r="C23" s="855" t="str">
        <f>TEXT('Tabele P.1 do P.3'!C22/1440,"hh:mm")</f>
        <v>00:31</v>
      </c>
      <c r="D23" s="855" t="str">
        <f>TEXT('Tabele P.1 do P.3'!D22/1440,"hh:mm")</f>
        <v>00:12</v>
      </c>
      <c r="E23" s="855" t="str">
        <f>TEXT('Tabele P.1 do P.3'!E22/1440,"hh:mm")</f>
        <v>00:26</v>
      </c>
      <c r="F23" s="856"/>
      <c r="G23" s="855" t="str">
        <f>TEXT('Tabele P.1 do P.3'!G22/1440,"hh:mm")</f>
        <v>00:30</v>
      </c>
      <c r="H23" s="855" t="str">
        <f>TEXT('Tabele P.1 do P.3'!H22/1440,"hh:mm")</f>
        <v>00:10</v>
      </c>
      <c r="I23" s="855" t="str">
        <f>TEXT('Tabele P.1 do P.3'!I22/1440,"hh:mm")</f>
        <v>00:24</v>
      </c>
    </row>
    <row r="24" spans="1:9" ht="15" customHeight="1" x14ac:dyDescent="0.25">
      <c r="A24" s="1598" t="s">
        <v>652</v>
      </c>
      <c r="B24" s="1599"/>
      <c r="C24" s="855" t="str">
        <f>TEXT('Tabele P.1 do P.3'!C23/1440,"hh:mm")</f>
        <v>00:28</v>
      </c>
      <c r="D24" s="855" t="str">
        <f>TEXT('Tabele P.1 do P.3'!D23/1440,"hh:mm")</f>
        <v>00:12</v>
      </c>
      <c r="E24" s="855" t="str">
        <f>TEXT('Tabele P.1 do P.3'!E23/1440,"hh:mm")</f>
        <v>00:23</v>
      </c>
      <c r="F24" s="856"/>
      <c r="G24" s="855" t="str">
        <f>TEXT('Tabele P.1 do P.3'!G23/1440,"hh:mm")</f>
        <v>00:26</v>
      </c>
      <c r="H24" s="855" t="str">
        <f>TEXT('Tabele P.1 do P.3'!H23/1440,"hh:mm")</f>
        <v>00:08</v>
      </c>
      <c r="I24" s="855" t="str">
        <f>TEXT('Tabele P.1 do P.3'!I23/1440,"hh:mm")</f>
        <v>00:21</v>
      </c>
    </row>
    <row r="25" spans="1:9" ht="15" customHeight="1" x14ac:dyDescent="0.25">
      <c r="A25" s="1598" t="s">
        <v>653</v>
      </c>
      <c r="B25" s="1599"/>
      <c r="C25" s="855" t="str">
        <f>TEXT('Tabele P.1 do P.3'!C24/1440,"hh:mm")</f>
        <v>00:00</v>
      </c>
      <c r="D25" s="855" t="str">
        <f>TEXT('Tabele P.1 do P.3'!D24/1440,"hh:mm")</f>
        <v>00:00</v>
      </c>
      <c r="E25" s="855" t="str">
        <f>TEXT('Tabele P.1 do P.3'!E24/1440,"hh:mm")</f>
        <v>00:00</v>
      </c>
      <c r="F25" s="857"/>
      <c r="G25" s="855" t="str">
        <f>TEXT('Tabele P.1 do P.3'!G24/1440,"hh:mm")</f>
        <v>00:01</v>
      </c>
      <c r="H25" s="855" t="str">
        <f>TEXT('Tabele P.1 do P.3'!H24/1440,"hh:mm")</f>
        <v>00:01</v>
      </c>
      <c r="I25" s="855" t="str">
        <f>TEXT('Tabele P.1 do P.3'!I24/1440,"hh:mm")</f>
        <v>00:01</v>
      </c>
    </row>
    <row r="26" spans="1:9" ht="15" customHeight="1" x14ac:dyDescent="0.25">
      <c r="A26" s="1598" t="s">
        <v>654</v>
      </c>
      <c r="B26" s="1599"/>
      <c r="C26" s="855" t="str">
        <f>TEXT('Tabele P.1 do P.3'!C25/1440,"hh:mm")</f>
        <v>00:02</v>
      </c>
      <c r="D26" s="855" t="str">
        <f>TEXT('Tabele P.1 do P.3'!D25/1440,"hh:mm")</f>
        <v>00:00</v>
      </c>
      <c r="E26" s="855" t="str">
        <f>TEXT('Tabele P.1 do P.3'!E25/1440,"hh:mm")</f>
        <v>00:01</v>
      </c>
      <c r="F26" s="856"/>
      <c r="G26" s="855" t="str">
        <f>TEXT('Tabele P.1 do P.3'!G25/1440,"hh:mm")</f>
        <v>00:03</v>
      </c>
      <c r="H26" s="855" t="str">
        <f>TEXT('Tabele P.1 do P.3'!H25/1440,"hh:mm")</f>
        <v>00:00</v>
      </c>
      <c r="I26" s="855" t="str">
        <f>TEXT('Tabele P.1 do P.3'!I25/1440,"hh:mm")</f>
        <v>00:02</v>
      </c>
    </row>
    <row r="27" spans="1:9" ht="15" customHeight="1" x14ac:dyDescent="0.25">
      <c r="A27" s="1600" t="s">
        <v>116</v>
      </c>
      <c r="B27" s="1601"/>
      <c r="C27" s="855" t="str">
        <f>TEXT('Tabele P.1 do P.3'!C26/1440,"hh:mm")</f>
        <v>11:20</v>
      </c>
      <c r="D27" s="855" t="str">
        <f>TEXT('Tabele P.1 do P.3'!D26/1440,"hh:mm")</f>
        <v>12:07</v>
      </c>
      <c r="E27" s="855" t="str">
        <f>TEXT('Tabele P.1 do P.3'!E26/1440,"hh:mm")</f>
        <v>11:33</v>
      </c>
      <c r="F27" s="856"/>
      <c r="G27" s="855" t="str">
        <f>TEXT('Tabele P.1 do P.3'!G26/1440,"hh:mm")</f>
        <v>11:06</v>
      </c>
      <c r="H27" s="855" t="str">
        <f>TEXT('Tabele P.1 do P.3'!H26/1440,"hh:mm")</f>
        <v>12:03</v>
      </c>
      <c r="I27" s="855" t="str">
        <f>TEXT('Tabele P.1 do P.3'!I26/1440,"hh:mm")</f>
        <v>11:22</v>
      </c>
    </row>
    <row r="28" spans="1:9" ht="15" customHeight="1" x14ac:dyDescent="0.25">
      <c r="A28" s="1598" t="s">
        <v>410</v>
      </c>
      <c r="B28" s="1599"/>
      <c r="C28" s="855" t="str">
        <f>TEXT('Tabele P.1 do P.3'!C27/1440,"hh:mm")</f>
        <v>08:15</v>
      </c>
      <c r="D28" s="855" t="str">
        <f>TEXT('Tabele P.1 do P.3'!D27/1440,"hh:mm")</f>
        <v>08:46</v>
      </c>
      <c r="E28" s="855" t="str">
        <f>TEXT('Tabele P.1 do P.3'!E27/1440,"hh:mm")</f>
        <v>08:24</v>
      </c>
      <c r="F28" s="856"/>
      <c r="G28" s="855" t="str">
        <f>TEXT('Tabele P.1 do P.3'!G27/1440,"hh:mm")</f>
        <v>08:06</v>
      </c>
      <c r="H28" s="855" t="str">
        <f>TEXT('Tabele P.1 do P.3'!H27/1440,"hh:mm")</f>
        <v>08:48</v>
      </c>
      <c r="I28" s="855" t="str">
        <f>TEXT('Tabele P.1 do P.3'!I27/1440,"hh:mm")</f>
        <v>08:18</v>
      </c>
    </row>
    <row r="29" spans="1:9" ht="15" customHeight="1" x14ac:dyDescent="0.25">
      <c r="A29" s="1598" t="s">
        <v>655</v>
      </c>
      <c r="B29" s="1599"/>
      <c r="C29" s="855" t="str">
        <f>TEXT('Tabele P.1 do P.3'!C28/1440,"hh:mm")</f>
        <v>01:59</v>
      </c>
      <c r="D29" s="855" t="str">
        <f>TEXT('Tabele P.1 do P.3'!D28/1440,"hh:mm")</f>
        <v>02:17</v>
      </c>
      <c r="E29" s="855" t="str">
        <f>TEXT('Tabele P.1 do P.3'!E28/1440,"hh:mm")</f>
        <v>02:04</v>
      </c>
      <c r="F29" s="856"/>
      <c r="G29" s="855" t="str">
        <f>TEXT('Tabele P.1 do P.3'!G28/1440,"hh:mm")</f>
        <v>01:59</v>
      </c>
      <c r="H29" s="855" t="str">
        <f>TEXT('Tabele P.1 do P.3'!H28/1440,"hh:mm")</f>
        <v>02:14</v>
      </c>
      <c r="I29" s="855" t="str">
        <f>TEXT('Tabele P.1 do P.3'!I28/1440,"hh:mm")</f>
        <v>02:03</v>
      </c>
    </row>
    <row r="30" spans="1:9" ht="15" customHeight="1" x14ac:dyDescent="0.25">
      <c r="A30" s="1598" t="s">
        <v>656</v>
      </c>
      <c r="B30" s="1599"/>
      <c r="C30" s="855" t="str">
        <f>TEXT('Tabele P.1 do P.3'!C29/1440,"hh:mm")</f>
        <v>01:03</v>
      </c>
      <c r="D30" s="855" t="str">
        <f>TEXT('Tabele P.1 do P.3'!D29/1440,"hh:mm")</f>
        <v>01:02</v>
      </c>
      <c r="E30" s="855" t="str">
        <f>TEXT('Tabele P.1 do P.3'!E29/1440,"hh:mm")</f>
        <v>01:03</v>
      </c>
      <c r="F30" s="856"/>
      <c r="G30" s="855" t="str">
        <f>TEXT('Tabele P.1 do P.3'!G29/1440,"hh:mm")</f>
        <v>00:59</v>
      </c>
      <c r="H30" s="855" t="str">
        <f>TEXT('Tabele P.1 do P.3'!H29/1440,"hh:mm")</f>
        <v>00:59</v>
      </c>
      <c r="I30" s="855" t="str">
        <f>TEXT('Tabele P.1 do P.3'!I29/1440,"hh:mm")</f>
        <v>00:59</v>
      </c>
    </row>
    <row r="31" spans="1:9" ht="15" customHeight="1" x14ac:dyDescent="0.25">
      <c r="A31" s="1598" t="s">
        <v>657</v>
      </c>
      <c r="B31" s="1599"/>
      <c r="C31" s="855" t="str">
        <f>TEXT('Tabele P.1 do P.3'!C30/1440,"hh:mm")</f>
        <v>00:01</v>
      </c>
      <c r="D31" s="855" t="str">
        <f>TEXT('Tabele P.1 do P.3'!D30/1440,"hh:mm")</f>
        <v>00:01</v>
      </c>
      <c r="E31" s="855" t="str">
        <f>TEXT('Tabele P.1 do P.3'!E30/1440,"hh:mm")</f>
        <v>00:01</v>
      </c>
      <c r="F31" s="856"/>
      <c r="G31" s="855" t="str">
        <f>TEXT('Tabele P.1 do P.3'!G30/1440,"hh:mm")</f>
        <v>00:01</v>
      </c>
      <c r="H31" s="855" t="str">
        <f>TEXT('Tabele P.1 do P.3'!H30/1440,"hh:mm")</f>
        <v>00:01</v>
      </c>
      <c r="I31" s="855" t="str">
        <f>TEXT('Tabele P.1 do P.3'!I30/1440,"hh:mm")</f>
        <v>00:01</v>
      </c>
    </row>
    <row r="32" spans="1:9" ht="15" customHeight="1" x14ac:dyDescent="0.25">
      <c r="A32" s="1600" t="s">
        <v>117</v>
      </c>
      <c r="B32" s="1601"/>
      <c r="C32" s="855" t="str">
        <f>TEXT('Tabele P.1 do P.3'!C31/1440,"hh:mm")</f>
        <v>05:08</v>
      </c>
      <c r="D32" s="855" t="str">
        <f>TEXT('Tabele P.1 do P.3'!D31/1440,"hh:mm")</f>
        <v>06:14</v>
      </c>
      <c r="E32" s="855" t="str">
        <f>TEXT('Tabele P.1 do P.3'!E31/1440,"hh:mm")</f>
        <v>05:27</v>
      </c>
      <c r="F32" s="856"/>
      <c r="G32" s="855" t="str">
        <f>TEXT('Tabele P.1 do P.3'!G31/1440,"hh:mm")</f>
        <v>05:42</v>
      </c>
      <c r="H32" s="855" t="str">
        <f>TEXT('Tabele P.1 do P.3'!H31/1440,"hh:mm")</f>
        <v>07:23</v>
      </c>
      <c r="I32" s="855" t="str">
        <f>TEXT('Tabele P.1 do P.3'!I31/1440,"hh:mm")</f>
        <v>06:11</v>
      </c>
    </row>
    <row r="33" spans="1:9" ht="15" customHeight="1" x14ac:dyDescent="0.25">
      <c r="A33" s="1598" t="s">
        <v>658</v>
      </c>
      <c r="B33" s="1599"/>
      <c r="C33" s="855" t="str">
        <f>TEXT('Tabele P.1 do P.3'!C32/1440,"hh:mm")</f>
        <v>00:00</v>
      </c>
      <c r="D33" s="855" t="str">
        <f>TEXT('Tabele P.1 do P.3'!D32/1440,"hh:mm")</f>
        <v>00:00</v>
      </c>
      <c r="E33" s="855" t="str">
        <f>TEXT('Tabele P.1 do P.3'!E32/1440,"hh:mm")</f>
        <v>00:00</v>
      </c>
      <c r="F33" s="857"/>
      <c r="G33" s="855" t="str">
        <f>TEXT('Tabele P.1 do P.3'!G32/1440,"hh:mm")</f>
        <v>00:00</v>
      </c>
      <c r="H33" s="855" t="str">
        <f>TEXT('Tabele P.1 do P.3'!H32/1440,"hh:mm")</f>
        <v>00:00</v>
      </c>
      <c r="I33" s="855" t="str">
        <f>TEXT('Tabele P.1 do P.3'!I32/1440,"hh:mm")</f>
        <v>00:00</v>
      </c>
    </row>
    <row r="34" spans="1:9" ht="15" customHeight="1" x14ac:dyDescent="0.25">
      <c r="A34" s="1598" t="s">
        <v>659</v>
      </c>
      <c r="B34" s="1599"/>
      <c r="C34" s="855" t="str">
        <f>TEXT('Tabele P.1 do P.3'!C33/1440,"hh:mm")</f>
        <v>00:07</v>
      </c>
      <c r="D34" s="855" t="str">
        <f>TEXT('Tabele P.1 do P.3'!D33/1440,"hh:mm")</f>
        <v>00:05</v>
      </c>
      <c r="E34" s="855" t="str">
        <f>TEXT('Tabele P.1 do P.3'!E33/1440,"hh:mm")</f>
        <v>00:07</v>
      </c>
      <c r="F34" s="856"/>
      <c r="G34" s="855" t="str">
        <f>TEXT('Tabele P.1 do P.3'!G33/1440,"hh:mm")</f>
        <v>00:08</v>
      </c>
      <c r="H34" s="855" t="str">
        <f>TEXT('Tabele P.1 do P.3'!H33/1440,"hh:mm")</f>
        <v>00:09</v>
      </c>
      <c r="I34" s="855" t="str">
        <f>TEXT('Tabele P.1 do P.3'!I33/1440,"hh:mm")</f>
        <v>00:08</v>
      </c>
    </row>
    <row r="35" spans="1:9" ht="15" customHeight="1" x14ac:dyDescent="0.25">
      <c r="A35" s="1598" t="s">
        <v>660</v>
      </c>
      <c r="B35" s="1599"/>
      <c r="C35" s="855" t="str">
        <f>TEXT('Tabele P.1 do P.3'!C34/1440,"hh:mm")</f>
        <v>00:00</v>
      </c>
      <c r="D35" s="855" t="str">
        <f>TEXT('Tabele P.1 do P.3'!D34/1440,"hh:mm")</f>
        <v>00:01</v>
      </c>
      <c r="E35" s="855" t="str">
        <f>TEXT('Tabele P.1 do P.3'!E34/1440,"hh:mm")</f>
        <v>00:00</v>
      </c>
      <c r="F35" s="857"/>
      <c r="G35" s="855" t="str">
        <f>TEXT('Tabele P.1 do P.3'!G34/1440,"hh:mm")</f>
        <v>00:00</v>
      </c>
      <c r="H35" s="855" t="str">
        <f>TEXT('Tabele P.1 do P.3'!H34/1440,"hh:mm")</f>
        <v>00:01</v>
      </c>
      <c r="I35" s="855" t="str">
        <f>TEXT('Tabele P.1 do P.3'!I34/1440,"hh:mm")</f>
        <v>00:01</v>
      </c>
    </row>
    <row r="36" spans="1:9" ht="15" customHeight="1" x14ac:dyDescent="0.25">
      <c r="A36" s="1598" t="s">
        <v>661</v>
      </c>
      <c r="B36" s="1599"/>
      <c r="C36" s="855" t="str">
        <f>TEXT('Tabele P.1 do P.3'!C35/1440,"hh:mm")</f>
        <v>00:53</v>
      </c>
      <c r="D36" s="855" t="str">
        <f>TEXT('Tabele P.1 do P.3'!D35/1440,"hh:mm")</f>
        <v>01:19</v>
      </c>
      <c r="E36" s="855" t="str">
        <f>TEXT('Tabele P.1 do P.3'!E35/1440,"hh:mm")</f>
        <v>01:00</v>
      </c>
      <c r="F36" s="856"/>
      <c r="G36" s="855" t="str">
        <f>TEXT('Tabele P.1 do P.3'!G35/1440,"hh:mm")</f>
        <v>00:53</v>
      </c>
      <c r="H36" s="855" t="str">
        <f>TEXT('Tabele P.1 do P.3'!H35/1440,"hh:mm")</f>
        <v>01:23</v>
      </c>
      <c r="I36" s="855" t="str">
        <f>TEXT('Tabele P.1 do P.3'!I35/1440,"hh:mm")</f>
        <v>01:02</v>
      </c>
    </row>
    <row r="37" spans="1:9" ht="15" customHeight="1" x14ac:dyDescent="0.25">
      <c r="A37" s="1598" t="s">
        <v>662</v>
      </c>
      <c r="B37" s="1599"/>
      <c r="C37" s="855" t="str">
        <f>TEXT('Tabele P.1 do P.3'!C36/1440,"hh:mm")</f>
        <v>00:00</v>
      </c>
      <c r="D37" s="855" t="str">
        <f>TEXT('Tabele P.1 do P.3'!D36/1440,"hh:mm")</f>
        <v>00:01</v>
      </c>
      <c r="E37" s="855" t="str">
        <f>TEXT('Tabele P.1 do P.3'!E36/1440,"hh:mm")</f>
        <v>00:00</v>
      </c>
      <c r="F37" s="857"/>
      <c r="G37" s="855" t="str">
        <f>TEXT('Tabele P.1 do P.3'!G36/1440,"hh:mm")</f>
        <v>00:01</v>
      </c>
      <c r="H37" s="855" t="str">
        <f>TEXT('Tabele P.1 do P.3'!H36/1440,"hh:mm")</f>
        <v>00:02</v>
      </c>
      <c r="I37" s="855" t="str">
        <f>TEXT('Tabele P.1 do P.3'!I36/1440,"hh:mm")</f>
        <v>00:01</v>
      </c>
    </row>
    <row r="38" spans="1:9" ht="15" customHeight="1" x14ac:dyDescent="0.25">
      <c r="A38" s="1598" t="s">
        <v>663</v>
      </c>
      <c r="B38" s="1599"/>
      <c r="C38" s="855" t="str">
        <f>TEXT('Tabele P.1 do P.3'!C37/1440,"hh:mm")</f>
        <v>00:49</v>
      </c>
      <c r="D38" s="855" t="str">
        <f>TEXT('Tabele P.1 do P.3'!D37/1440,"hh:mm")</f>
        <v>00:53</v>
      </c>
      <c r="E38" s="855" t="str">
        <f>TEXT('Tabele P.1 do P.3'!E37/1440,"hh:mm")</f>
        <v>00:50</v>
      </c>
      <c r="F38" s="856"/>
      <c r="G38" s="855" t="str">
        <f>TEXT('Tabele P.1 do P.3'!G37/1440,"hh:mm")</f>
        <v>00:50</v>
      </c>
      <c r="H38" s="855" t="str">
        <f>TEXT('Tabele P.1 do P.3'!H37/1440,"hh:mm")</f>
        <v>00:57</v>
      </c>
      <c r="I38" s="855" t="str">
        <f>TEXT('Tabele P.1 do P.3'!I37/1440,"hh:mm")</f>
        <v>00:52</v>
      </c>
    </row>
    <row r="39" spans="1:9" ht="15" customHeight="1" x14ac:dyDescent="0.25">
      <c r="A39" s="1598" t="s">
        <v>664</v>
      </c>
      <c r="B39" s="1599"/>
      <c r="C39" s="855" t="str">
        <f>TEXT('Tabele P.1 do P.3'!C38/1440,"hh:mm")</f>
        <v>00:15</v>
      </c>
      <c r="D39" s="855" t="str">
        <f>TEXT('Tabele P.1 do P.3'!D38/1440,"hh:mm")</f>
        <v>00:25</v>
      </c>
      <c r="E39" s="855" t="str">
        <f>TEXT('Tabele P.1 do P.3'!E38/1440,"hh:mm")</f>
        <v>00:18</v>
      </c>
      <c r="F39" s="856"/>
      <c r="G39" s="855" t="str">
        <f>TEXT('Tabele P.1 do P.3'!G38/1440,"hh:mm")</f>
        <v>00:18</v>
      </c>
      <c r="H39" s="855" t="str">
        <f>TEXT('Tabele P.1 do P.3'!H38/1440,"hh:mm")</f>
        <v>00:32</v>
      </c>
      <c r="I39" s="855" t="str">
        <f>TEXT('Tabele P.1 do P.3'!I38/1440,"hh:mm")</f>
        <v>00:22</v>
      </c>
    </row>
    <row r="40" spans="1:9" ht="15" customHeight="1" x14ac:dyDescent="0.25">
      <c r="A40" s="1598" t="s">
        <v>665</v>
      </c>
      <c r="B40" s="1599"/>
      <c r="C40" s="855" t="str">
        <f>TEXT('Tabele P.1 do P.3'!C39/1440,"hh:mm")</f>
        <v>00:00</v>
      </c>
      <c r="D40" s="855" t="str">
        <f>TEXT('Tabele P.1 do P.3'!D39/1440,"hh:mm")</f>
        <v>00:00</v>
      </c>
      <c r="E40" s="855" t="str">
        <f>TEXT('Tabele P.1 do P.3'!E39/1440,"hh:mm")</f>
        <v>00:00</v>
      </c>
      <c r="F40" s="857"/>
      <c r="G40" s="855" t="str">
        <f>TEXT('Tabele P.1 do P.3'!G39/1440,"hh:mm")</f>
        <v>00:02</v>
      </c>
      <c r="H40" s="855" t="str">
        <f>TEXT('Tabele P.1 do P.3'!H39/1440,"hh:mm")</f>
        <v>00:03</v>
      </c>
      <c r="I40" s="855" t="str">
        <f>TEXT('Tabele P.1 do P.3'!I39/1440,"hh:mm")</f>
        <v>00:02</v>
      </c>
    </row>
    <row r="41" spans="1:9" ht="15" customHeight="1" x14ac:dyDescent="0.25">
      <c r="A41" s="1598" t="s">
        <v>666</v>
      </c>
      <c r="B41" s="1599"/>
      <c r="C41" s="855" t="str">
        <f>TEXT('Tabele P.1 do P.3'!C40/1440,"hh:mm")</f>
        <v>00:00</v>
      </c>
      <c r="D41" s="855" t="str">
        <f>TEXT('Tabele P.1 do P.3'!D40/1440,"hh:mm")</f>
        <v>00:00</v>
      </c>
      <c r="E41" s="855" t="str">
        <f>TEXT('Tabele P.1 do P.3'!E40/1440,"hh:mm")</f>
        <v>00:00</v>
      </c>
      <c r="F41" s="857"/>
      <c r="G41" s="855" t="str">
        <f>TEXT('Tabele P.1 do P.3'!G40/1440,"hh:mm")</f>
        <v>00:00</v>
      </c>
      <c r="H41" s="855" t="str">
        <f>TEXT('Tabele P.1 do P.3'!H40/1440,"hh:mm")</f>
        <v>00:00</v>
      </c>
      <c r="I41" s="855" t="str">
        <f>TEXT('Tabele P.1 do P.3'!I40/1440,"hh:mm")</f>
        <v>00:00</v>
      </c>
    </row>
    <row r="42" spans="1:9" ht="15" customHeight="1" x14ac:dyDescent="0.25">
      <c r="A42" s="1598" t="s">
        <v>667</v>
      </c>
      <c r="B42" s="1599"/>
      <c r="C42" s="855" t="str">
        <f>TEXT('Tabele P.1 do P.3'!C41/1440,"hh:mm")</f>
        <v>00:03</v>
      </c>
      <c r="D42" s="855" t="str">
        <f>TEXT('Tabele P.1 do P.3'!D41/1440,"hh:mm")</f>
        <v>00:02</v>
      </c>
      <c r="E42" s="855" t="str">
        <f>TEXT('Tabele P.1 do P.3'!E41/1440,"hh:mm")</f>
        <v>00:02</v>
      </c>
      <c r="F42" s="856"/>
      <c r="G42" s="855" t="str">
        <f>TEXT('Tabele P.1 do P.3'!G41/1440,"hh:mm")</f>
        <v>00:01</v>
      </c>
      <c r="H42" s="855" t="str">
        <f>TEXT('Tabele P.1 do P.3'!H41/1440,"hh:mm")</f>
        <v>00:01</v>
      </c>
      <c r="I42" s="855" t="str">
        <f>TEXT('Tabele P.1 do P.3'!I41/1440,"hh:mm")</f>
        <v>00:01</v>
      </c>
    </row>
    <row r="43" spans="1:9" ht="15" customHeight="1" x14ac:dyDescent="0.25">
      <c r="A43" s="1598" t="s">
        <v>668</v>
      </c>
      <c r="B43" s="1599"/>
      <c r="C43" s="855" t="str">
        <f>TEXT('Tabele P.1 do P.3'!C42/1440,"hh:mm")</f>
        <v>00:09</v>
      </c>
      <c r="D43" s="855" t="str">
        <f>TEXT('Tabele P.1 do P.3'!D42/1440,"hh:mm")</f>
        <v>00:08</v>
      </c>
      <c r="E43" s="855" t="str">
        <f>TEXT('Tabele P.1 do P.3'!E42/1440,"hh:mm")</f>
        <v>00:08</v>
      </c>
      <c r="F43" s="856"/>
      <c r="G43" s="855" t="str">
        <f>TEXT('Tabele P.1 do P.3'!G42/1440,"hh:mm")</f>
        <v>00:15</v>
      </c>
      <c r="H43" s="855" t="str">
        <f>TEXT('Tabele P.1 do P.3'!H42/1440,"hh:mm")</f>
        <v>00:15</v>
      </c>
      <c r="I43" s="855" t="str">
        <f>TEXT('Tabele P.1 do P.3'!I42/1440,"hh:mm")</f>
        <v>00:15</v>
      </c>
    </row>
    <row r="44" spans="1:9" ht="15" customHeight="1" x14ac:dyDescent="0.25">
      <c r="A44" s="1598" t="s">
        <v>669</v>
      </c>
      <c r="B44" s="1599"/>
      <c r="C44" s="855" t="str">
        <f>TEXT('Tabele P.1 do P.3'!C43/1440,"hh:mm")</f>
        <v>00:02</v>
      </c>
      <c r="D44" s="855" t="str">
        <f>TEXT('Tabele P.1 do P.3'!D43/1440,"hh:mm")</f>
        <v>00:02</v>
      </c>
      <c r="E44" s="855" t="str">
        <f>TEXT('Tabele P.1 do P.3'!E43/1440,"hh:mm")</f>
        <v>00:02</v>
      </c>
      <c r="F44" s="856"/>
      <c r="G44" s="855" t="str">
        <f>TEXT('Tabele P.1 do P.3'!G43/1440,"hh:mm")</f>
        <v>00:14</v>
      </c>
      <c r="H44" s="855" t="str">
        <f>TEXT('Tabele P.1 do P.3'!H43/1440,"hh:mm")</f>
        <v>00:18</v>
      </c>
      <c r="I44" s="855" t="str">
        <f>TEXT('Tabele P.1 do P.3'!I43/1440,"hh:mm")</f>
        <v>00:15</v>
      </c>
    </row>
    <row r="45" spans="1:9" ht="15" customHeight="1" x14ac:dyDescent="0.25">
      <c r="A45" s="1598" t="s">
        <v>285</v>
      </c>
      <c r="B45" s="1599"/>
      <c r="C45" s="855" t="str">
        <f>TEXT('Tabele P.1 do P.3'!C44/1440,"hh:mm")</f>
        <v>00:14</v>
      </c>
      <c r="D45" s="855" t="str">
        <f>TEXT('Tabele P.1 do P.3'!D44/1440,"hh:mm")</f>
        <v>00:16</v>
      </c>
      <c r="E45" s="855" t="str">
        <f>TEXT('Tabele P.1 do P.3'!E44/1440,"hh:mm")</f>
        <v>00:15</v>
      </c>
      <c r="F45" s="856"/>
      <c r="G45" s="855" t="str">
        <f>TEXT('Tabele P.1 do P.3'!G44/1440,"hh:mm")</f>
        <v>00:13</v>
      </c>
      <c r="H45" s="855" t="str">
        <f>TEXT('Tabele P.1 do P.3'!H44/1440,"hh:mm")</f>
        <v>00:14</v>
      </c>
      <c r="I45" s="855" t="str">
        <f>TEXT('Tabele P.1 do P.3'!I44/1440,"hh:mm")</f>
        <v>00:13</v>
      </c>
    </row>
    <row r="46" spans="1:9" ht="15" customHeight="1" x14ac:dyDescent="0.25">
      <c r="A46" s="1598" t="s">
        <v>670</v>
      </c>
      <c r="B46" s="1599"/>
      <c r="C46" s="855" t="str">
        <f>TEXT('Tabele P.1 do P.3'!C45/1440,"hh:mm")</f>
        <v>02:19</v>
      </c>
      <c r="D46" s="855" t="str">
        <f>TEXT('Tabele P.1 do P.3'!D45/1440,"hh:mm")</f>
        <v>02:29</v>
      </c>
      <c r="E46" s="855" t="str">
        <f>TEXT('Tabele P.1 do P.3'!E45/1440,"hh:mm")</f>
        <v>02:22</v>
      </c>
      <c r="F46" s="856"/>
      <c r="G46" s="855" t="str">
        <f>TEXT('Tabele P.1 do P.3'!G45/1440,"hh:mm")</f>
        <v>02:27</v>
      </c>
      <c r="H46" s="855" t="str">
        <f>TEXT('Tabele P.1 do P.3'!H45/1440,"hh:mm")</f>
        <v>02:45</v>
      </c>
      <c r="I46" s="855" t="str">
        <f>TEXT('Tabele P.1 do P.3'!I45/1440,"hh:mm")</f>
        <v>02:32</v>
      </c>
    </row>
    <row r="47" spans="1:9" ht="15" customHeight="1" x14ac:dyDescent="0.25">
      <c r="A47" s="1598" t="s">
        <v>671</v>
      </c>
      <c r="B47" s="1599"/>
      <c r="C47" s="855" t="str">
        <f>TEXT('Tabele P.1 do P.3'!C46/1440,"hh:mm")</f>
        <v>00:01</v>
      </c>
      <c r="D47" s="855" t="str">
        <f>TEXT('Tabele P.1 do P.3'!D46/1440,"hh:mm")</f>
        <v>00:01</v>
      </c>
      <c r="E47" s="855" t="str">
        <f>TEXT('Tabele P.1 do P.3'!E46/1440,"hh:mm")</f>
        <v>00:01</v>
      </c>
      <c r="F47" s="856"/>
      <c r="G47" s="855" t="str">
        <f>TEXT('Tabele P.1 do P.3'!G46/1440,"hh:mm")</f>
        <v>00:01</v>
      </c>
      <c r="H47" s="855" t="str">
        <f>TEXT('Tabele P.1 do P.3'!H46/1440,"hh:mm")</f>
        <v>00:02</v>
      </c>
      <c r="I47" s="855" t="str">
        <f>TEXT('Tabele P.1 do P.3'!I46/1440,"hh:mm")</f>
        <v>00:01</v>
      </c>
    </row>
    <row r="48" spans="1:9" ht="15" customHeight="1" x14ac:dyDescent="0.25">
      <c r="A48" s="1598" t="s">
        <v>672</v>
      </c>
      <c r="B48" s="1599"/>
      <c r="C48" s="855" t="str">
        <f>TEXT('Tabele P.1 do P.3'!C47/1440,"hh:mm")</f>
        <v>00:01</v>
      </c>
      <c r="D48" s="855" t="str">
        <f>TEXT('Tabele P.1 do P.3'!D47/1440,"hh:mm")</f>
        <v>00:01</v>
      </c>
      <c r="E48" s="855" t="str">
        <f>TEXT('Tabele P.1 do P.3'!E47/1440,"hh:mm")</f>
        <v>00:01</v>
      </c>
      <c r="F48" s="856"/>
      <c r="G48" s="855" t="str">
        <f>TEXT('Tabele P.1 do P.3'!G47/1440,"hh:mm")</f>
        <v>00:01</v>
      </c>
      <c r="H48" s="855" t="str">
        <f>TEXT('Tabele P.1 do P.3'!H47/1440,"hh:mm")</f>
        <v>00:02</v>
      </c>
      <c r="I48" s="855" t="str">
        <f>TEXT('Tabele P.1 do P.3'!I47/1440,"hh:mm")</f>
        <v>00:01</v>
      </c>
    </row>
    <row r="49" spans="1:9" ht="15" customHeight="1" x14ac:dyDescent="0.25">
      <c r="A49" s="1598" t="s">
        <v>673</v>
      </c>
      <c r="B49" s="1599"/>
      <c r="C49" s="855" t="str">
        <f>TEXT('Tabele P.1 do P.3'!C48/1440,"hh:mm")</f>
        <v>00:06</v>
      </c>
      <c r="D49" s="855" t="str">
        <f>TEXT('Tabele P.1 do P.3'!D48/1440,"hh:mm")</f>
        <v>00:14</v>
      </c>
      <c r="E49" s="855" t="str">
        <f>TEXT('Tabele P.1 do P.3'!E48/1440,"hh:mm")</f>
        <v>00:09</v>
      </c>
      <c r="F49" s="856"/>
      <c r="G49" s="855" t="str">
        <f>TEXT('Tabele P.1 do P.3'!G48/1440,"hh:mm")</f>
        <v>00:09</v>
      </c>
      <c r="H49" s="855" t="str">
        <f>TEXT('Tabele P.1 do P.3'!H48/1440,"hh:mm")</f>
        <v>00:19</v>
      </c>
      <c r="I49" s="855" t="str">
        <f>TEXT('Tabele P.1 do P.3'!I48/1440,"hh:mm")</f>
        <v>00:12</v>
      </c>
    </row>
    <row r="50" spans="1:9" ht="15" customHeight="1" x14ac:dyDescent="0.25">
      <c r="A50" s="1598" t="s">
        <v>674</v>
      </c>
      <c r="B50" s="1599"/>
      <c r="C50" s="855" t="str">
        <f>TEXT('Tabele P.1 do P.3'!C49/1440,"hh:mm")</f>
        <v>00:01</v>
      </c>
      <c r="D50" s="855" t="str">
        <f>TEXT('Tabele P.1 do P.3'!D49/1440,"hh:mm")</f>
        <v>00:04</v>
      </c>
      <c r="E50" s="855" t="str">
        <f>TEXT('Tabele P.1 do P.3'!E49/1440,"hh:mm")</f>
        <v>00:02</v>
      </c>
      <c r="F50" s="856"/>
      <c r="G50" s="855" t="str">
        <f>TEXT('Tabele P.1 do P.3'!G49/1440,"hh:mm")</f>
        <v>00:02</v>
      </c>
      <c r="H50" s="855" t="str">
        <f>TEXT('Tabele P.1 do P.3'!H49/1440,"hh:mm")</f>
        <v>00:06</v>
      </c>
      <c r="I50" s="855" t="str">
        <f>TEXT('Tabele P.1 do P.3'!I49/1440,"hh:mm")</f>
        <v>00:03</v>
      </c>
    </row>
    <row r="51" spans="1:9" ht="15" customHeight="1" x14ac:dyDescent="0.25">
      <c r="A51" s="1598" t="s">
        <v>675</v>
      </c>
      <c r="B51" s="1599"/>
      <c r="C51" s="855" t="str">
        <f>TEXT('Tabele P.1 do P.3'!C50/1440,"hh:mm")</f>
        <v>00:00</v>
      </c>
      <c r="D51" s="855" t="str">
        <f>TEXT('Tabele P.1 do P.3'!D50/1440,"hh:mm")</f>
        <v>00:03</v>
      </c>
      <c r="E51" s="855" t="str">
        <f>TEXT('Tabele P.1 do P.3'!E50/1440,"hh:mm")</f>
        <v>00:01</v>
      </c>
      <c r="F51" s="856"/>
      <c r="G51" s="855" t="str">
        <f>TEXT('Tabele P.1 do P.3'!G50/1440,"hh:mm")</f>
        <v>00:00</v>
      </c>
      <c r="H51" s="855" t="str">
        <f>TEXT('Tabele P.1 do P.3'!H50/1440,"hh:mm")</f>
        <v>00:04</v>
      </c>
      <c r="I51" s="855" t="str">
        <f>TEXT('Tabele P.1 do P.3'!I50/1440,"hh:mm")</f>
        <v>00:01</v>
      </c>
    </row>
    <row r="52" spans="1:9" ht="15" customHeight="1" x14ac:dyDescent="0.25">
      <c r="A52" s="1600" t="s">
        <v>676</v>
      </c>
      <c r="B52" s="1601"/>
      <c r="C52" s="858" t="str">
        <f>TEXT('Tabele P.1 do P.3'!C51/1440,"hh:mm")</f>
        <v>00:00</v>
      </c>
      <c r="D52" s="858" t="str">
        <f>TEXT('Tabele P.1 do P.3'!D51/1440,"hh:mm")</f>
        <v>00:00</v>
      </c>
      <c r="E52" s="858" t="str">
        <f>TEXT('Tabele P.1 do P.3'!E51/1440,"hh:mm")</f>
        <v>00:00</v>
      </c>
      <c r="F52" s="857"/>
      <c r="G52" s="858" t="str">
        <f>TEXT('Tabele P.1 do P.3'!G51/1440,"hh:mm")</f>
        <v>00:01</v>
      </c>
      <c r="H52" s="858" t="str">
        <f>TEXT('Tabele P.1 do P.3'!H51/1440,"hh:mm")</f>
        <v>00:01</v>
      </c>
      <c r="I52" s="858" t="str">
        <f>TEXT('Tabele P.1 do P.3'!I51/1440,"hh:mm")</f>
        <v>00:01</v>
      </c>
    </row>
    <row r="53" spans="1:9" ht="15" customHeight="1" x14ac:dyDescent="0.25">
      <c r="A53" s="1615" t="s">
        <v>274</v>
      </c>
      <c r="B53" s="1615"/>
      <c r="C53" s="859">
        <v>1938</v>
      </c>
      <c r="D53" s="859">
        <v>1810</v>
      </c>
      <c r="E53" s="859">
        <v>3748</v>
      </c>
      <c r="F53" s="859"/>
      <c r="G53" s="859">
        <v>1742</v>
      </c>
      <c r="H53" s="859">
        <v>1625</v>
      </c>
      <c r="I53" s="860">
        <v>3367</v>
      </c>
    </row>
  </sheetData>
  <mergeCells count="52">
    <mergeCell ref="A7:B7"/>
    <mergeCell ref="A3:I3"/>
    <mergeCell ref="A4:I4"/>
    <mergeCell ref="A5:B6"/>
    <mergeCell ref="C5:E5"/>
    <mergeCell ref="G5:I5"/>
    <mergeCell ref="A19:B19"/>
    <mergeCell ref="A8:B8"/>
    <mergeCell ref="A9:B9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31:B31"/>
    <mergeCell ref="A20:B20"/>
    <mergeCell ref="A21:B21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43:B43"/>
    <mergeCell ref="A32:B32"/>
    <mergeCell ref="A33:B33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50:B50"/>
    <mergeCell ref="A51:B51"/>
    <mergeCell ref="A52:B52"/>
    <mergeCell ref="A53:B53"/>
    <mergeCell ref="A44:B44"/>
    <mergeCell ref="A45:B45"/>
    <mergeCell ref="A46:B46"/>
    <mergeCell ref="A47:B47"/>
    <mergeCell ref="A48:B48"/>
    <mergeCell ref="A49:B49"/>
  </mergeCells>
  <pageMargins left="0.2" right="0.2" top="0.25" bottom="0.25" header="0.3" footer="0.3"/>
  <pageSetup paperSize="9" scale="77" fitToHeight="3" orientation="portrait" horizontalDpi="4294967295" verticalDpi="4294967295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3:I53"/>
  <sheetViews>
    <sheetView zoomScaleNormal="100" workbookViewId="0"/>
  </sheetViews>
  <sheetFormatPr defaultRowHeight="15" x14ac:dyDescent="0.25"/>
  <cols>
    <col min="1" max="1" width="21.85546875" style="339" customWidth="1"/>
    <col min="2" max="2" width="26.7109375" style="339" customWidth="1"/>
    <col min="3" max="3" width="12.85546875" style="339" customWidth="1"/>
    <col min="4" max="4" width="13.7109375" style="339" customWidth="1"/>
    <col min="5" max="5" width="12.140625" style="339" customWidth="1"/>
    <col min="6" max="6" width="1.7109375" style="339" customWidth="1"/>
    <col min="7" max="7" width="12.42578125" style="339" customWidth="1"/>
    <col min="8" max="8" width="13.140625" style="339" customWidth="1"/>
    <col min="9" max="9" width="11.28515625" style="339" customWidth="1"/>
    <col min="10" max="16384" width="9.140625" style="339"/>
  </cols>
  <sheetData>
    <row r="3" spans="1:9" ht="33" customHeight="1" x14ac:dyDescent="0.25">
      <c r="A3" s="1602" t="s">
        <v>687</v>
      </c>
      <c r="B3" s="1603"/>
      <c r="C3" s="1603"/>
      <c r="D3" s="1603"/>
      <c r="E3" s="1603"/>
      <c r="F3" s="1603"/>
      <c r="G3" s="1603"/>
      <c r="H3" s="1603"/>
      <c r="I3" s="1603"/>
    </row>
    <row r="4" spans="1:9" x14ac:dyDescent="0.25">
      <c r="A4" s="1604"/>
      <c r="B4" s="1604"/>
      <c r="C4" s="1604"/>
      <c r="D4" s="1604"/>
      <c r="E4" s="1604"/>
      <c r="F4" s="1604"/>
      <c r="G4" s="1604"/>
      <c r="H4" s="1604"/>
      <c r="I4" s="1604"/>
    </row>
    <row r="5" spans="1:9" ht="15" customHeight="1" x14ac:dyDescent="0.25">
      <c r="A5" s="1605"/>
      <c r="B5" s="1606"/>
      <c r="C5" s="1609" t="s">
        <v>11</v>
      </c>
      <c r="D5" s="1610"/>
      <c r="E5" s="1611"/>
      <c r="F5" s="861"/>
      <c r="G5" s="1612" t="s">
        <v>12</v>
      </c>
      <c r="H5" s="1612"/>
      <c r="I5" s="1612"/>
    </row>
    <row r="6" spans="1:9" ht="15" customHeight="1" x14ac:dyDescent="0.25">
      <c r="A6" s="1607"/>
      <c r="B6" s="1608"/>
      <c r="C6" s="850" t="s">
        <v>276</v>
      </c>
      <c r="D6" s="851" t="s">
        <v>273</v>
      </c>
      <c r="E6" s="851" t="s">
        <v>280</v>
      </c>
      <c r="F6" s="862"/>
      <c r="G6" s="851" t="s">
        <v>276</v>
      </c>
      <c r="H6" s="851" t="s">
        <v>273</v>
      </c>
      <c r="I6" s="851" t="s">
        <v>280</v>
      </c>
    </row>
    <row r="7" spans="1:9" ht="15" customHeight="1" x14ac:dyDescent="0.25">
      <c r="A7" s="1613" t="s">
        <v>113</v>
      </c>
      <c r="B7" s="1614"/>
      <c r="C7" s="863">
        <v>39.31</v>
      </c>
      <c r="D7" s="864">
        <v>16.21</v>
      </c>
      <c r="E7" s="864">
        <v>32.71</v>
      </c>
      <c r="F7" s="865"/>
      <c r="G7" s="864">
        <v>56.51</v>
      </c>
      <c r="H7" s="864">
        <v>28.17</v>
      </c>
      <c r="I7" s="864">
        <v>48.41</v>
      </c>
    </row>
    <row r="8" spans="1:9" ht="15" customHeight="1" x14ac:dyDescent="0.25">
      <c r="A8" s="1598" t="s">
        <v>648</v>
      </c>
      <c r="B8" s="1599"/>
      <c r="C8" s="866">
        <v>38.92</v>
      </c>
      <c r="D8" s="867">
        <v>15.78</v>
      </c>
      <c r="E8" s="867">
        <v>32.31</v>
      </c>
      <c r="F8" s="856"/>
      <c r="G8" s="867">
        <v>56.28</v>
      </c>
      <c r="H8" s="867">
        <v>27.77</v>
      </c>
      <c r="I8" s="867">
        <v>48.13</v>
      </c>
    </row>
    <row r="9" spans="1:9" ht="15" customHeight="1" x14ac:dyDescent="0.25">
      <c r="A9" s="1598" t="s">
        <v>649</v>
      </c>
      <c r="B9" s="1599"/>
      <c r="C9" s="866">
        <v>7.58</v>
      </c>
      <c r="D9" s="867">
        <v>2.2599999999999998</v>
      </c>
      <c r="E9" s="867">
        <v>6.06</v>
      </c>
      <c r="F9" s="856"/>
      <c r="G9" s="867">
        <v>10.52</v>
      </c>
      <c r="H9" s="867">
        <v>3.94</v>
      </c>
      <c r="I9" s="867">
        <v>8.64</v>
      </c>
    </row>
    <row r="10" spans="1:9" ht="15" customHeight="1" x14ac:dyDescent="0.25">
      <c r="A10" s="1598" t="s">
        <v>650</v>
      </c>
      <c r="B10" s="1599"/>
      <c r="C10" s="866">
        <v>33.840000000000003</v>
      </c>
      <c r="D10" s="867">
        <v>10.78</v>
      </c>
      <c r="E10" s="867">
        <v>27.25</v>
      </c>
      <c r="F10" s="856"/>
      <c r="G10" s="867">
        <v>48.52</v>
      </c>
      <c r="H10" s="867">
        <v>19.7</v>
      </c>
      <c r="I10" s="867">
        <v>40.28</v>
      </c>
    </row>
    <row r="11" spans="1:9" ht="15" customHeight="1" x14ac:dyDescent="0.25">
      <c r="A11" s="1600" t="s">
        <v>114</v>
      </c>
      <c r="B11" s="1601"/>
      <c r="C11" s="866">
        <v>93.02</v>
      </c>
      <c r="D11" s="867">
        <v>94.05</v>
      </c>
      <c r="E11" s="867">
        <v>93.31</v>
      </c>
      <c r="F11" s="856"/>
      <c r="G11" s="867">
        <v>76.430000000000007</v>
      </c>
      <c r="H11" s="867">
        <v>78.38</v>
      </c>
      <c r="I11" s="867">
        <v>76.989999999999995</v>
      </c>
    </row>
    <row r="12" spans="1:9" ht="15" customHeight="1" x14ac:dyDescent="0.25">
      <c r="A12" s="1598" t="s">
        <v>74</v>
      </c>
      <c r="B12" s="1599"/>
      <c r="C12" s="866">
        <v>85.01</v>
      </c>
      <c r="D12" s="867">
        <v>86.17</v>
      </c>
      <c r="E12" s="867">
        <v>85.34</v>
      </c>
      <c r="F12" s="856"/>
      <c r="G12" s="867">
        <v>33.78</v>
      </c>
      <c r="H12" s="867">
        <v>34.83</v>
      </c>
      <c r="I12" s="867">
        <v>34.08</v>
      </c>
    </row>
    <row r="13" spans="1:9" ht="15" customHeight="1" x14ac:dyDescent="0.25">
      <c r="A13" s="1598" t="s">
        <v>69</v>
      </c>
      <c r="B13" s="1599"/>
      <c r="C13" s="866">
        <v>61.98</v>
      </c>
      <c r="D13" s="867">
        <v>67.3</v>
      </c>
      <c r="E13" s="867">
        <v>63.5</v>
      </c>
      <c r="F13" s="856"/>
      <c r="G13" s="867">
        <v>36.1</v>
      </c>
      <c r="H13" s="867">
        <v>46.31</v>
      </c>
      <c r="I13" s="867">
        <v>39.020000000000003</v>
      </c>
    </row>
    <row r="14" spans="1:9" ht="15" customHeight="1" x14ac:dyDescent="0.25">
      <c r="A14" s="1598" t="s">
        <v>70</v>
      </c>
      <c r="B14" s="1599"/>
      <c r="C14" s="866">
        <v>27.31</v>
      </c>
      <c r="D14" s="867">
        <v>25.94</v>
      </c>
      <c r="E14" s="867">
        <v>26.92</v>
      </c>
      <c r="F14" s="856"/>
      <c r="G14" s="867">
        <v>2.1800000000000002</v>
      </c>
      <c r="H14" s="867">
        <v>2.34</v>
      </c>
      <c r="I14" s="867">
        <v>2.2200000000000002</v>
      </c>
    </row>
    <row r="15" spans="1:9" ht="15" customHeight="1" x14ac:dyDescent="0.25">
      <c r="A15" s="1598" t="s">
        <v>76</v>
      </c>
      <c r="B15" s="1599"/>
      <c r="C15" s="866">
        <v>20.51</v>
      </c>
      <c r="D15" s="867">
        <v>20.2</v>
      </c>
      <c r="E15" s="867">
        <v>20.420000000000002</v>
      </c>
      <c r="F15" s="856"/>
      <c r="G15" s="867">
        <v>18.690000000000001</v>
      </c>
      <c r="H15" s="867">
        <v>21.47</v>
      </c>
      <c r="I15" s="867">
        <v>19.48</v>
      </c>
    </row>
    <row r="16" spans="1:9" ht="15" customHeight="1" x14ac:dyDescent="0.25">
      <c r="A16" s="1598" t="s">
        <v>234</v>
      </c>
      <c r="B16" s="1599"/>
      <c r="C16" s="868">
        <v>0.69</v>
      </c>
      <c r="D16" s="867">
        <v>1.19</v>
      </c>
      <c r="E16" s="869">
        <v>0.83</v>
      </c>
      <c r="F16" s="857"/>
      <c r="G16" s="867">
        <v>9.81</v>
      </c>
      <c r="H16" s="867">
        <v>14.37</v>
      </c>
      <c r="I16" s="867">
        <v>11.11</v>
      </c>
    </row>
    <row r="17" spans="1:9" ht="15" customHeight="1" x14ac:dyDescent="0.25">
      <c r="A17" s="1598" t="s">
        <v>72</v>
      </c>
      <c r="B17" s="1599"/>
      <c r="C17" s="866">
        <v>40.72</v>
      </c>
      <c r="D17" s="867">
        <v>33.92</v>
      </c>
      <c r="E17" s="867">
        <v>38.78</v>
      </c>
      <c r="F17" s="856"/>
      <c r="G17" s="867">
        <v>37.590000000000003</v>
      </c>
      <c r="H17" s="867">
        <v>36.83</v>
      </c>
      <c r="I17" s="867">
        <v>37.380000000000003</v>
      </c>
    </row>
    <row r="18" spans="1:9" ht="15" customHeight="1" x14ac:dyDescent="0.25">
      <c r="A18" s="1598" t="s">
        <v>235</v>
      </c>
      <c r="B18" s="1599"/>
      <c r="C18" s="868">
        <v>0.92</v>
      </c>
      <c r="D18" s="867">
        <v>1.05</v>
      </c>
      <c r="E18" s="869">
        <v>0.96</v>
      </c>
      <c r="F18" s="857"/>
      <c r="G18" s="869">
        <v>0.94</v>
      </c>
      <c r="H18" s="867">
        <v>1.1399999999999999</v>
      </c>
      <c r="I18" s="867">
        <v>1</v>
      </c>
    </row>
    <row r="19" spans="1:9" ht="15" customHeight="1" x14ac:dyDescent="0.25">
      <c r="A19" s="1598" t="s">
        <v>71</v>
      </c>
      <c r="B19" s="1599"/>
      <c r="C19" s="866">
        <v>17.75</v>
      </c>
      <c r="D19" s="867">
        <v>16.13</v>
      </c>
      <c r="E19" s="867">
        <v>17.29</v>
      </c>
      <c r="F19" s="856"/>
      <c r="G19" s="867">
        <v>10.87</v>
      </c>
      <c r="H19" s="867">
        <v>11.55</v>
      </c>
      <c r="I19" s="867">
        <v>11.06</v>
      </c>
    </row>
    <row r="20" spans="1:9" ht="15" customHeight="1" x14ac:dyDescent="0.25">
      <c r="A20" s="1598" t="s">
        <v>236</v>
      </c>
      <c r="B20" s="1599"/>
      <c r="C20" s="866">
        <v>2.84</v>
      </c>
      <c r="D20" s="867">
        <v>3.59</v>
      </c>
      <c r="E20" s="867">
        <v>3.06</v>
      </c>
      <c r="F20" s="856"/>
      <c r="G20" s="867">
        <v>2.12</v>
      </c>
      <c r="H20" s="867">
        <v>1.3</v>
      </c>
      <c r="I20" s="867">
        <v>1.88</v>
      </c>
    </row>
    <row r="21" spans="1:9" ht="15" customHeight="1" x14ac:dyDescent="0.25">
      <c r="A21" s="1598" t="s">
        <v>651</v>
      </c>
      <c r="B21" s="1599"/>
      <c r="C21" s="868">
        <v>0.05</v>
      </c>
      <c r="D21" s="869">
        <v>0.16</v>
      </c>
      <c r="E21" s="869">
        <v>0.08</v>
      </c>
      <c r="F21" s="857"/>
      <c r="G21" s="869">
        <v>0.38</v>
      </c>
      <c r="H21" s="869">
        <v>0.46</v>
      </c>
      <c r="I21" s="869">
        <v>0.4</v>
      </c>
    </row>
    <row r="22" spans="1:9" ht="15" customHeight="1" x14ac:dyDescent="0.25">
      <c r="A22" s="1598" t="s">
        <v>73</v>
      </c>
      <c r="B22" s="1599"/>
      <c r="C22" s="866">
        <v>40.020000000000003</v>
      </c>
      <c r="D22" s="867">
        <v>34.42</v>
      </c>
      <c r="E22" s="867">
        <v>38.42</v>
      </c>
      <c r="F22" s="856"/>
      <c r="G22" s="867">
        <v>38.46</v>
      </c>
      <c r="H22" s="867">
        <v>36.590000000000003</v>
      </c>
      <c r="I22" s="867">
        <v>37.92</v>
      </c>
    </row>
    <row r="23" spans="1:9" ht="15" customHeight="1" x14ac:dyDescent="0.25">
      <c r="A23" s="1600" t="s">
        <v>115</v>
      </c>
      <c r="B23" s="1601"/>
      <c r="C23" s="866">
        <v>9.4499999999999993</v>
      </c>
      <c r="D23" s="867">
        <v>5.67</v>
      </c>
      <c r="E23" s="867">
        <v>8.3699999999999992</v>
      </c>
      <c r="F23" s="856"/>
      <c r="G23" s="867">
        <v>7.95</v>
      </c>
      <c r="H23" s="867">
        <v>5.77</v>
      </c>
      <c r="I23" s="867">
        <v>7.33</v>
      </c>
    </row>
    <row r="24" spans="1:9" ht="15" customHeight="1" x14ac:dyDescent="0.25">
      <c r="A24" s="1598" t="s">
        <v>652</v>
      </c>
      <c r="B24" s="1599"/>
      <c r="C24" s="866">
        <v>8.75</v>
      </c>
      <c r="D24" s="867">
        <v>5.38</v>
      </c>
      <c r="E24" s="867">
        <v>7.78</v>
      </c>
      <c r="F24" s="856"/>
      <c r="G24" s="867">
        <v>7.57</v>
      </c>
      <c r="H24" s="867">
        <v>5.51</v>
      </c>
      <c r="I24" s="867">
        <v>6.98</v>
      </c>
    </row>
    <row r="25" spans="1:9" ht="15" customHeight="1" x14ac:dyDescent="0.25">
      <c r="A25" s="1598" t="s">
        <v>653</v>
      </c>
      <c r="B25" s="1599"/>
      <c r="C25" s="868">
        <v>0.78</v>
      </c>
      <c r="D25" s="869">
        <v>0.28999999999999998</v>
      </c>
      <c r="E25" s="869">
        <v>0.64</v>
      </c>
      <c r="F25" s="857"/>
      <c r="G25" s="869">
        <v>0.39</v>
      </c>
      <c r="H25" s="869">
        <v>0.26</v>
      </c>
      <c r="I25" s="869">
        <v>0.35</v>
      </c>
    </row>
    <row r="26" spans="1:9" ht="15" customHeight="1" x14ac:dyDescent="0.25">
      <c r="A26" s="1598" t="s">
        <v>654</v>
      </c>
      <c r="B26" s="1599"/>
      <c r="C26" s="866">
        <v>3.31</v>
      </c>
      <c r="D26" s="869">
        <v>0.21</v>
      </c>
      <c r="E26" s="867">
        <v>2.4300000000000002</v>
      </c>
      <c r="F26" s="856"/>
      <c r="G26" s="867">
        <v>3.42</v>
      </c>
      <c r="H26" s="869">
        <v>0.34</v>
      </c>
      <c r="I26" s="867">
        <v>2.54</v>
      </c>
    </row>
    <row r="27" spans="1:9" ht="15" customHeight="1" x14ac:dyDescent="0.25">
      <c r="A27" s="1600" t="s">
        <v>116</v>
      </c>
      <c r="B27" s="1601"/>
      <c r="C27" s="866">
        <v>100</v>
      </c>
      <c r="D27" s="867">
        <v>100</v>
      </c>
      <c r="E27" s="867">
        <v>100</v>
      </c>
      <c r="F27" s="856"/>
      <c r="G27" s="867">
        <v>100</v>
      </c>
      <c r="H27" s="867">
        <v>100</v>
      </c>
      <c r="I27" s="867">
        <v>100</v>
      </c>
    </row>
    <row r="28" spans="1:9" ht="15" customHeight="1" x14ac:dyDescent="0.25">
      <c r="A28" s="1598" t="s">
        <v>410</v>
      </c>
      <c r="B28" s="1599"/>
      <c r="C28" s="866">
        <v>100</v>
      </c>
      <c r="D28" s="867">
        <v>100</v>
      </c>
      <c r="E28" s="867">
        <v>100</v>
      </c>
      <c r="F28" s="856"/>
      <c r="G28" s="867">
        <v>100</v>
      </c>
      <c r="H28" s="867">
        <v>100</v>
      </c>
      <c r="I28" s="867">
        <v>100</v>
      </c>
    </row>
    <row r="29" spans="1:9" ht="15" customHeight="1" x14ac:dyDescent="0.25">
      <c r="A29" s="1598" t="s">
        <v>655</v>
      </c>
      <c r="B29" s="1599"/>
      <c r="C29" s="866">
        <v>99.49</v>
      </c>
      <c r="D29" s="867">
        <v>99.67</v>
      </c>
      <c r="E29" s="867">
        <v>99.54</v>
      </c>
      <c r="F29" s="856"/>
      <c r="G29" s="867">
        <v>99.7</v>
      </c>
      <c r="H29" s="867">
        <v>99.75</v>
      </c>
      <c r="I29" s="867">
        <v>99.71</v>
      </c>
    </row>
    <row r="30" spans="1:9" ht="15" customHeight="1" x14ac:dyDescent="0.25">
      <c r="A30" s="1598" t="s">
        <v>656</v>
      </c>
      <c r="B30" s="1599"/>
      <c r="C30" s="866">
        <v>97.71</v>
      </c>
      <c r="D30" s="867">
        <v>96.94</v>
      </c>
      <c r="E30" s="867">
        <v>97.49</v>
      </c>
      <c r="F30" s="856"/>
      <c r="G30" s="867">
        <v>97.44</v>
      </c>
      <c r="H30" s="867">
        <v>97.12</v>
      </c>
      <c r="I30" s="867">
        <v>97.35</v>
      </c>
    </row>
    <row r="31" spans="1:9" ht="15" customHeight="1" x14ac:dyDescent="0.25">
      <c r="A31" s="1598" t="s">
        <v>657</v>
      </c>
      <c r="B31" s="1599"/>
      <c r="C31" s="866">
        <v>3.99</v>
      </c>
      <c r="D31" s="867">
        <v>2.33</v>
      </c>
      <c r="E31" s="867">
        <v>3.51</v>
      </c>
      <c r="F31" s="856"/>
      <c r="G31" s="867">
        <v>3.45</v>
      </c>
      <c r="H31" s="867">
        <v>2.11</v>
      </c>
      <c r="I31" s="867">
        <v>3.07</v>
      </c>
    </row>
    <row r="32" spans="1:9" ht="15" customHeight="1" x14ac:dyDescent="0.25">
      <c r="A32" s="1600" t="s">
        <v>117</v>
      </c>
      <c r="B32" s="1601"/>
      <c r="C32" s="866">
        <v>98.71</v>
      </c>
      <c r="D32" s="867">
        <v>99.66</v>
      </c>
      <c r="E32" s="867">
        <v>98.98</v>
      </c>
      <c r="F32" s="856"/>
      <c r="G32" s="867">
        <v>98.92</v>
      </c>
      <c r="H32" s="867">
        <v>99.43</v>
      </c>
      <c r="I32" s="867">
        <v>99.07</v>
      </c>
    </row>
    <row r="33" spans="1:9" ht="15" customHeight="1" x14ac:dyDescent="0.25">
      <c r="A33" s="1598" t="s">
        <v>658</v>
      </c>
      <c r="B33" s="1599"/>
      <c r="C33" s="868">
        <v>0.24</v>
      </c>
      <c r="D33" s="869">
        <v>0.04</v>
      </c>
      <c r="E33" s="869">
        <v>0.19</v>
      </c>
      <c r="F33" s="857"/>
      <c r="G33" s="867">
        <v>0</v>
      </c>
      <c r="H33" s="867">
        <v>0</v>
      </c>
      <c r="I33" s="867">
        <v>0</v>
      </c>
    </row>
    <row r="34" spans="1:9" ht="15" customHeight="1" x14ac:dyDescent="0.25">
      <c r="A34" s="1598" t="s">
        <v>659</v>
      </c>
      <c r="B34" s="1599"/>
      <c r="C34" s="866">
        <v>4.2699999999999996</v>
      </c>
      <c r="D34" s="867">
        <v>4.9400000000000004</v>
      </c>
      <c r="E34" s="867">
        <v>4.46</v>
      </c>
      <c r="F34" s="856"/>
      <c r="G34" s="867">
        <v>5.34</v>
      </c>
      <c r="H34" s="867">
        <v>6.46</v>
      </c>
      <c r="I34" s="867">
        <v>5.66</v>
      </c>
    </row>
    <row r="35" spans="1:9" ht="15" customHeight="1" x14ac:dyDescent="0.25">
      <c r="A35" s="1598" t="s">
        <v>660</v>
      </c>
      <c r="B35" s="1599"/>
      <c r="C35" s="866">
        <v>1.02</v>
      </c>
      <c r="D35" s="867">
        <v>2.4900000000000002</v>
      </c>
      <c r="E35" s="867">
        <v>1.44</v>
      </c>
      <c r="F35" s="856"/>
      <c r="G35" s="869">
        <v>0.98</v>
      </c>
      <c r="H35" s="867">
        <v>2.74</v>
      </c>
      <c r="I35" s="867">
        <v>1.48</v>
      </c>
    </row>
    <row r="36" spans="1:9" ht="15" customHeight="1" x14ac:dyDescent="0.25">
      <c r="A36" s="1598" t="s">
        <v>661</v>
      </c>
      <c r="B36" s="1599"/>
      <c r="C36" s="866">
        <v>63.65</v>
      </c>
      <c r="D36" s="867">
        <v>71</v>
      </c>
      <c r="E36" s="867">
        <v>65.75</v>
      </c>
      <c r="F36" s="856"/>
      <c r="G36" s="867">
        <v>62.75</v>
      </c>
      <c r="H36" s="867">
        <v>68.61</v>
      </c>
      <c r="I36" s="867">
        <v>64.430000000000007</v>
      </c>
    </row>
    <row r="37" spans="1:9" ht="15" customHeight="1" x14ac:dyDescent="0.25">
      <c r="A37" s="1598" t="s">
        <v>662</v>
      </c>
      <c r="B37" s="1599"/>
      <c r="C37" s="868">
        <v>0.53</v>
      </c>
      <c r="D37" s="869">
        <v>0.83</v>
      </c>
      <c r="E37" s="869">
        <v>0.62</v>
      </c>
      <c r="F37" s="857"/>
      <c r="G37" s="869">
        <v>0.75</v>
      </c>
      <c r="H37" s="867">
        <v>2.1</v>
      </c>
      <c r="I37" s="867">
        <v>1.1399999999999999</v>
      </c>
    </row>
    <row r="38" spans="1:9" ht="15" customHeight="1" x14ac:dyDescent="0.25">
      <c r="A38" s="1598" t="s">
        <v>663</v>
      </c>
      <c r="B38" s="1599"/>
      <c r="C38" s="866">
        <v>54.41</v>
      </c>
      <c r="D38" s="867">
        <v>59.14</v>
      </c>
      <c r="E38" s="867">
        <v>55.76</v>
      </c>
      <c r="F38" s="856"/>
      <c r="G38" s="867">
        <v>55.62</v>
      </c>
      <c r="H38" s="867">
        <v>56.79</v>
      </c>
      <c r="I38" s="867">
        <v>55.96</v>
      </c>
    </row>
    <row r="39" spans="1:9" ht="15" customHeight="1" x14ac:dyDescent="0.25">
      <c r="A39" s="1598" t="s">
        <v>664</v>
      </c>
      <c r="B39" s="1599"/>
      <c r="C39" s="866">
        <v>17.989999999999998</v>
      </c>
      <c r="D39" s="867">
        <v>24.8</v>
      </c>
      <c r="E39" s="867">
        <v>19.940000000000001</v>
      </c>
      <c r="F39" s="856"/>
      <c r="G39" s="867">
        <v>20.38</v>
      </c>
      <c r="H39" s="867">
        <v>28.83</v>
      </c>
      <c r="I39" s="867">
        <v>22.8</v>
      </c>
    </row>
    <row r="40" spans="1:9" ht="15" customHeight="1" x14ac:dyDescent="0.25">
      <c r="A40" s="1598" t="s">
        <v>665</v>
      </c>
      <c r="B40" s="1599"/>
      <c r="C40" s="868">
        <v>0.02</v>
      </c>
      <c r="D40" s="869">
        <v>0.1</v>
      </c>
      <c r="E40" s="869">
        <v>0.04</v>
      </c>
      <c r="F40" s="857"/>
      <c r="G40" s="869">
        <v>0.84</v>
      </c>
      <c r="H40" s="867">
        <v>1.37</v>
      </c>
      <c r="I40" s="869">
        <v>0.99</v>
      </c>
    </row>
    <row r="41" spans="1:9" ht="15" customHeight="1" x14ac:dyDescent="0.25">
      <c r="A41" s="1598" t="s">
        <v>666</v>
      </c>
      <c r="B41" s="1599"/>
      <c r="C41" s="868">
        <v>0.23</v>
      </c>
      <c r="D41" s="869">
        <v>0.04</v>
      </c>
      <c r="E41" s="869">
        <v>0.18</v>
      </c>
      <c r="F41" s="857"/>
      <c r="G41" s="869">
        <v>0.26</v>
      </c>
      <c r="H41" s="869">
        <v>0.89</v>
      </c>
      <c r="I41" s="869">
        <v>0.44</v>
      </c>
    </row>
    <row r="42" spans="1:9" ht="15" customHeight="1" x14ac:dyDescent="0.25">
      <c r="A42" s="1598" t="s">
        <v>667</v>
      </c>
      <c r="B42" s="1599"/>
      <c r="C42" s="866">
        <v>3.22</v>
      </c>
      <c r="D42" s="867">
        <v>2.4300000000000002</v>
      </c>
      <c r="E42" s="867">
        <v>2.99</v>
      </c>
      <c r="F42" s="856"/>
      <c r="G42" s="869">
        <v>0.79</v>
      </c>
      <c r="H42" s="869">
        <v>0.8</v>
      </c>
      <c r="I42" s="869">
        <v>0.79</v>
      </c>
    </row>
    <row r="43" spans="1:9" ht="15" customHeight="1" x14ac:dyDescent="0.25">
      <c r="A43" s="1598" t="s">
        <v>668</v>
      </c>
      <c r="B43" s="1599"/>
      <c r="C43" s="866">
        <v>11.4</v>
      </c>
      <c r="D43" s="867">
        <v>11.11</v>
      </c>
      <c r="E43" s="867">
        <v>11.32</v>
      </c>
      <c r="F43" s="856"/>
      <c r="G43" s="867">
        <v>16.309999999999999</v>
      </c>
      <c r="H43" s="867">
        <v>15.84</v>
      </c>
      <c r="I43" s="867">
        <v>16.170000000000002</v>
      </c>
    </row>
    <row r="44" spans="1:9" ht="15" customHeight="1" x14ac:dyDescent="0.25">
      <c r="A44" s="1598" t="s">
        <v>669</v>
      </c>
      <c r="B44" s="1599"/>
      <c r="C44" s="866">
        <v>3.98</v>
      </c>
      <c r="D44" s="867">
        <v>4.1500000000000004</v>
      </c>
      <c r="E44" s="867">
        <v>4.03</v>
      </c>
      <c r="F44" s="856"/>
      <c r="G44" s="867">
        <v>13.06</v>
      </c>
      <c r="H44" s="867">
        <v>15.86</v>
      </c>
      <c r="I44" s="867">
        <v>13.86</v>
      </c>
    </row>
    <row r="45" spans="1:9" ht="15" customHeight="1" x14ac:dyDescent="0.25">
      <c r="A45" s="1598" t="s">
        <v>285</v>
      </c>
      <c r="B45" s="1599"/>
      <c r="C45" s="866">
        <v>19.170000000000002</v>
      </c>
      <c r="D45" s="867">
        <v>20.8</v>
      </c>
      <c r="E45" s="867">
        <v>19.64</v>
      </c>
      <c r="F45" s="856"/>
      <c r="G45" s="867">
        <v>20.7</v>
      </c>
      <c r="H45" s="867">
        <v>23.05</v>
      </c>
      <c r="I45" s="867">
        <v>21.37</v>
      </c>
    </row>
    <row r="46" spans="1:9" ht="15" customHeight="1" x14ac:dyDescent="0.25">
      <c r="A46" s="1598" t="s">
        <v>670</v>
      </c>
      <c r="B46" s="1599"/>
      <c r="C46" s="866">
        <v>85.48</v>
      </c>
      <c r="D46" s="867">
        <v>84.89</v>
      </c>
      <c r="E46" s="867">
        <v>85.31</v>
      </c>
      <c r="F46" s="856"/>
      <c r="G46" s="867">
        <v>85.42</v>
      </c>
      <c r="H46" s="867">
        <v>85.65</v>
      </c>
      <c r="I46" s="867">
        <v>85.48</v>
      </c>
    </row>
    <row r="47" spans="1:9" ht="15" customHeight="1" x14ac:dyDescent="0.25">
      <c r="A47" s="1598" t="s">
        <v>671</v>
      </c>
      <c r="B47" s="1599"/>
      <c r="C47" s="866">
        <v>2.5499999999999998</v>
      </c>
      <c r="D47" s="867">
        <v>3.56</v>
      </c>
      <c r="E47" s="867">
        <v>2.84</v>
      </c>
      <c r="F47" s="856"/>
      <c r="G47" s="867">
        <v>2.88</v>
      </c>
      <c r="H47" s="867">
        <v>3.59</v>
      </c>
      <c r="I47" s="867">
        <v>3.08</v>
      </c>
    </row>
    <row r="48" spans="1:9" ht="15" customHeight="1" x14ac:dyDescent="0.25">
      <c r="A48" s="1598" t="s">
        <v>672</v>
      </c>
      <c r="B48" s="1599"/>
      <c r="C48" s="866">
        <v>2.66</v>
      </c>
      <c r="D48" s="867">
        <v>3.32</v>
      </c>
      <c r="E48" s="867">
        <v>2.84</v>
      </c>
      <c r="F48" s="856"/>
      <c r="G48" s="867">
        <v>3.22</v>
      </c>
      <c r="H48" s="867">
        <v>5.0999999999999996</v>
      </c>
      <c r="I48" s="867">
        <v>3.76</v>
      </c>
    </row>
    <row r="49" spans="1:9" ht="15" customHeight="1" x14ac:dyDescent="0.25">
      <c r="A49" s="1598" t="s">
        <v>673</v>
      </c>
      <c r="B49" s="1599"/>
      <c r="C49" s="866">
        <v>17.899999999999999</v>
      </c>
      <c r="D49" s="867">
        <v>29.91</v>
      </c>
      <c r="E49" s="867">
        <v>21.33</v>
      </c>
      <c r="F49" s="856"/>
      <c r="G49" s="867">
        <v>23.53</v>
      </c>
      <c r="H49" s="867">
        <v>35.520000000000003</v>
      </c>
      <c r="I49" s="867">
        <v>26.95</v>
      </c>
    </row>
    <row r="50" spans="1:9" ht="15" customHeight="1" x14ac:dyDescent="0.25">
      <c r="A50" s="1598" t="s">
        <v>674</v>
      </c>
      <c r="B50" s="1599"/>
      <c r="C50" s="866">
        <v>3.18</v>
      </c>
      <c r="D50" s="867">
        <v>6.51</v>
      </c>
      <c r="E50" s="867">
        <v>4.13</v>
      </c>
      <c r="F50" s="856"/>
      <c r="G50" s="867">
        <v>7.66</v>
      </c>
      <c r="H50" s="867">
        <v>11</v>
      </c>
      <c r="I50" s="867">
        <v>8.6199999999999992</v>
      </c>
    </row>
    <row r="51" spans="1:9" ht="15" customHeight="1" x14ac:dyDescent="0.25">
      <c r="A51" s="1598" t="s">
        <v>675</v>
      </c>
      <c r="B51" s="1599"/>
      <c r="C51" s="868">
        <v>0.51</v>
      </c>
      <c r="D51" s="867">
        <v>2.82</v>
      </c>
      <c r="E51" s="867">
        <v>1.17</v>
      </c>
      <c r="F51" s="856"/>
      <c r="G51" s="869">
        <v>0.71</v>
      </c>
      <c r="H51" s="867">
        <v>4.03</v>
      </c>
      <c r="I51" s="867">
        <v>1.66</v>
      </c>
    </row>
    <row r="52" spans="1:9" ht="15" customHeight="1" x14ac:dyDescent="0.25">
      <c r="A52" s="1600" t="s">
        <v>676</v>
      </c>
      <c r="B52" s="1601"/>
      <c r="C52" s="866">
        <v>2.77</v>
      </c>
      <c r="D52" s="867">
        <v>2.54</v>
      </c>
      <c r="E52" s="867">
        <v>2.71</v>
      </c>
      <c r="F52" s="856"/>
      <c r="G52" s="856">
        <v>4.21</v>
      </c>
      <c r="H52" s="856">
        <v>3.78</v>
      </c>
      <c r="I52" s="856">
        <v>4.08</v>
      </c>
    </row>
    <row r="53" spans="1:9" ht="15" customHeight="1" x14ac:dyDescent="0.25">
      <c r="A53" s="1615" t="s">
        <v>274</v>
      </c>
      <c r="B53" s="1615"/>
      <c r="C53" s="859">
        <v>1938</v>
      </c>
      <c r="D53" s="859">
        <v>1810</v>
      </c>
      <c r="E53" s="859">
        <v>3748</v>
      </c>
      <c r="F53" s="859"/>
      <c r="G53" s="859">
        <v>1742</v>
      </c>
      <c r="H53" s="859">
        <v>1625</v>
      </c>
      <c r="I53" s="860">
        <v>3367</v>
      </c>
    </row>
  </sheetData>
  <mergeCells count="52">
    <mergeCell ref="A9:B9"/>
    <mergeCell ref="A3:I3"/>
    <mergeCell ref="A4:I4"/>
    <mergeCell ref="A5:B6"/>
    <mergeCell ref="C5:E5"/>
    <mergeCell ref="G5:I5"/>
    <mergeCell ref="A7:B7"/>
    <mergeCell ref="A8:B8"/>
    <mergeCell ref="A21:B21"/>
    <mergeCell ref="A10:B10"/>
    <mergeCell ref="A11:B11"/>
    <mergeCell ref="A12:B12"/>
    <mergeCell ref="A13:B13"/>
    <mergeCell ref="A14:B14"/>
    <mergeCell ref="A15:B15"/>
    <mergeCell ref="A16:B16"/>
    <mergeCell ref="A17:B17"/>
    <mergeCell ref="A18:B18"/>
    <mergeCell ref="A19:B19"/>
    <mergeCell ref="A20:B20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45:B45"/>
    <mergeCell ref="A34:B34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52:B52"/>
    <mergeCell ref="A53:B53"/>
    <mergeCell ref="A46:B46"/>
    <mergeCell ref="A47:B47"/>
    <mergeCell ref="A48:B48"/>
    <mergeCell ref="A49:B49"/>
    <mergeCell ref="A50:B50"/>
    <mergeCell ref="A51:B51"/>
  </mergeCells>
  <pageMargins left="0.2" right="0.2" top="0.25" bottom="0.25" header="0.3" footer="0.3"/>
  <pageSetup paperSize="9" scale="77" fitToHeight="3" orientation="portrait" horizontalDpi="4294967295" verticalDpi="4294967295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3:I53"/>
  <sheetViews>
    <sheetView zoomScaleNormal="100" workbookViewId="0"/>
  </sheetViews>
  <sheetFormatPr defaultRowHeight="15" x14ac:dyDescent="0.25"/>
  <cols>
    <col min="1" max="1" width="21.85546875" style="339" customWidth="1"/>
    <col min="2" max="2" width="26.7109375" style="339" customWidth="1"/>
    <col min="3" max="3" width="12.85546875" style="339" customWidth="1"/>
    <col min="4" max="4" width="13.7109375" style="339" customWidth="1"/>
    <col min="5" max="5" width="12.140625" style="339" customWidth="1"/>
    <col min="6" max="6" width="1.7109375" style="339" customWidth="1"/>
    <col min="7" max="7" width="12.42578125" style="339" customWidth="1"/>
    <col min="8" max="8" width="13.140625" style="339" customWidth="1"/>
    <col min="9" max="9" width="11.28515625" style="339" customWidth="1"/>
    <col min="10" max="16384" width="9.140625" style="339"/>
  </cols>
  <sheetData>
    <row r="3" spans="1:9" ht="37.5" customHeight="1" x14ac:dyDescent="0.25">
      <c r="A3" s="1602" t="s">
        <v>686</v>
      </c>
      <c r="B3" s="1603"/>
      <c r="C3" s="1603"/>
      <c r="D3" s="1603"/>
      <c r="E3" s="1603"/>
      <c r="F3" s="1603"/>
      <c r="G3" s="1603"/>
      <c r="H3" s="1603"/>
      <c r="I3" s="1603"/>
    </row>
    <row r="4" spans="1:9" ht="15" customHeight="1" x14ac:dyDescent="0.25">
      <c r="A4" s="1616"/>
      <c r="B4" s="1616"/>
      <c r="C4" s="1616"/>
      <c r="D4" s="1616"/>
      <c r="E4" s="1616"/>
      <c r="F4" s="1616"/>
      <c r="G4" s="1616"/>
      <c r="H4" s="1616"/>
      <c r="I4" s="1616"/>
    </row>
    <row r="5" spans="1:9" ht="15" customHeight="1" x14ac:dyDescent="0.25">
      <c r="A5" s="1605"/>
      <c r="B5" s="1606"/>
      <c r="C5" s="1617" t="s">
        <v>11</v>
      </c>
      <c r="D5" s="1612"/>
      <c r="E5" s="1612"/>
      <c r="F5" s="861"/>
      <c r="G5" s="1612" t="s">
        <v>12</v>
      </c>
      <c r="H5" s="1612"/>
      <c r="I5" s="1612"/>
    </row>
    <row r="6" spans="1:9" ht="15" customHeight="1" x14ac:dyDescent="0.25">
      <c r="A6" s="1607"/>
      <c r="B6" s="1608"/>
      <c r="C6" s="850" t="s">
        <v>276</v>
      </c>
      <c r="D6" s="851" t="s">
        <v>273</v>
      </c>
      <c r="E6" s="851" t="s">
        <v>280</v>
      </c>
      <c r="F6" s="862"/>
      <c r="G6" s="851" t="s">
        <v>276</v>
      </c>
      <c r="H6" s="851" t="s">
        <v>273</v>
      </c>
      <c r="I6" s="851" t="s">
        <v>280</v>
      </c>
    </row>
    <row r="7" spans="1:9" ht="15" customHeight="1" x14ac:dyDescent="0.25">
      <c r="A7" s="1613" t="s">
        <v>113</v>
      </c>
      <c r="B7" s="1614"/>
      <c r="C7" s="853" t="str">
        <f>TEXT('Tabele P.1 do P.3'!C116/1440,"hh:mm")</f>
        <v>07:31</v>
      </c>
      <c r="D7" s="853" t="str">
        <f>TEXT('Tabele P.1 do P.3'!D116/1440,"hh:mm")</f>
        <v>05:59</v>
      </c>
      <c r="E7" s="853" t="str">
        <f>TEXT('Tabele P.1 do P.3'!E116/1440,"hh:mm")</f>
        <v>07:18</v>
      </c>
      <c r="F7" s="865"/>
      <c r="G7" s="853" t="str">
        <f>TEXT('Tabele P.1 do P.3'!G116/1440,"hh:mm")</f>
        <v>08:21</v>
      </c>
      <c r="H7" s="853" t="str">
        <f>TEXT('Tabele P.1 do P.3'!H116/1440,"hh:mm")</f>
        <v>07:05</v>
      </c>
      <c r="I7" s="853" t="str">
        <f>TEXT('Tabele P.1 do P.3'!I116/1440,"hh:mm")</f>
        <v>08:08</v>
      </c>
    </row>
    <row r="8" spans="1:9" ht="15" customHeight="1" x14ac:dyDescent="0.25">
      <c r="A8" s="1598" t="s">
        <v>648</v>
      </c>
      <c r="B8" s="1599"/>
      <c r="C8" s="855" t="str">
        <f>TEXT('Tabele P.1 do P.3'!C117/1440,"hh:mm")</f>
        <v>06:35</v>
      </c>
      <c r="D8" s="855" t="str">
        <f>TEXT('Tabele P.1 do P.3'!D117/1440,"hh:mm")</f>
        <v>05:27</v>
      </c>
      <c r="E8" s="855" t="str">
        <f>TEXT('Tabele P.1 do P.3'!E117/1440,"hh:mm")</f>
        <v>06:26</v>
      </c>
      <c r="F8" s="856"/>
      <c r="G8" s="855" t="str">
        <f>TEXT('Tabele P.1 do P.3'!G117/1440,"hh:mm")</f>
        <v>07:24</v>
      </c>
      <c r="H8" s="855" t="str">
        <f>TEXT('Tabele P.1 do P.3'!H117/1440,"hh:mm")</f>
        <v>06:23</v>
      </c>
      <c r="I8" s="855" t="str">
        <f>TEXT('Tabele P.1 do P.3'!I117/1440,"hh:mm")</f>
        <v>07:14</v>
      </c>
    </row>
    <row r="9" spans="1:9" ht="15" customHeight="1" x14ac:dyDescent="0.25">
      <c r="A9" s="1598" t="s">
        <v>649</v>
      </c>
      <c r="B9" s="1599"/>
      <c r="C9" s="855" t="str">
        <f>TEXT('Tabele P.1 do P.3'!C118/1440,"hh:mm")</f>
        <v>00:33</v>
      </c>
      <c r="D9" s="855" t="str">
        <f>TEXT('Tabele P.1 do P.3'!D118/1440,"hh:mm")</f>
        <v>00:45</v>
      </c>
      <c r="E9" s="855" t="str">
        <f>TEXT('Tabele P.1 do P.3'!E118/1440,"hh:mm")</f>
        <v>00:35</v>
      </c>
      <c r="F9" s="856"/>
      <c r="G9" s="855" t="str">
        <f>TEXT('Tabele P.1 do P.3'!G118/1440,"hh:mm")</f>
        <v>00:37</v>
      </c>
      <c r="H9" s="855" t="str">
        <f>TEXT('Tabele P.1 do P.3'!H118/1440,"hh:mm")</f>
        <v>00:36</v>
      </c>
      <c r="I9" s="855" t="str">
        <f>TEXT('Tabele P.1 do P.3'!I118/1440,"hh:mm")</f>
        <v>00:37</v>
      </c>
    </row>
    <row r="10" spans="1:9" ht="15" customHeight="1" x14ac:dyDescent="0.25">
      <c r="A10" s="1598" t="s">
        <v>650</v>
      </c>
      <c r="B10" s="1599"/>
      <c r="C10" s="855" t="str">
        <f>TEXT('Tabele P.1 do P.3'!C119/1440,"hh:mm")</f>
        <v>01:01</v>
      </c>
      <c r="D10" s="855" t="str">
        <f>TEXT('Tabele P.1 do P.3'!D119/1440,"hh:mm")</f>
        <v>00:52</v>
      </c>
      <c r="E10" s="855" t="str">
        <f>TEXT('Tabele P.1 do P.3'!E119/1440,"hh:mm")</f>
        <v>01:00</v>
      </c>
      <c r="F10" s="856"/>
      <c r="G10" s="855" t="str">
        <f>TEXT('Tabele P.1 do P.3'!G119/1440,"hh:mm")</f>
        <v>01:00</v>
      </c>
      <c r="H10" s="855" t="str">
        <f>TEXT('Tabele P.1 do P.3'!H119/1440,"hh:mm")</f>
        <v>01:01</v>
      </c>
      <c r="I10" s="855" t="str">
        <f>TEXT('Tabele P.1 do P.3'!I119/1440,"hh:mm")</f>
        <v>01:00</v>
      </c>
    </row>
    <row r="11" spans="1:9" ht="15" customHeight="1" x14ac:dyDescent="0.25">
      <c r="A11" s="1600" t="s">
        <v>114</v>
      </c>
      <c r="B11" s="1601"/>
      <c r="C11" s="855" t="str">
        <f>TEXT('Tabele P.1 do P.3'!C120/1440,"hh:mm")</f>
        <v>04:20</v>
      </c>
      <c r="D11" s="855" t="str">
        <f>TEXT('Tabele P.1 do P.3'!D120/1440,"hh:mm")</f>
        <v>04:42</v>
      </c>
      <c r="E11" s="855" t="str">
        <f>TEXT('Tabele P.1 do P.3'!E120/1440,"hh:mm")</f>
        <v>04:26</v>
      </c>
      <c r="F11" s="856"/>
      <c r="G11" s="855" t="str">
        <f>TEXT('Tabele P.1 do P.3'!G120/1440,"hh:mm")</f>
        <v>02:31</v>
      </c>
      <c r="H11" s="855" t="str">
        <f>TEXT('Tabele P.1 do P.3'!H120/1440,"hh:mm")</f>
        <v>03:00</v>
      </c>
      <c r="I11" s="855" t="str">
        <f>TEXT('Tabele P.1 do P.3'!I120/1440,"hh:mm")</f>
        <v>02:39</v>
      </c>
    </row>
    <row r="12" spans="1:9" ht="15" customHeight="1" x14ac:dyDescent="0.25">
      <c r="A12" s="1598" t="s">
        <v>74</v>
      </c>
      <c r="B12" s="1599"/>
      <c r="C12" s="855" t="str">
        <f>TEXT('Tabele P.1 do P.3'!C121/1440,"hh:mm")</f>
        <v>02:10</v>
      </c>
      <c r="D12" s="855" t="str">
        <f>TEXT('Tabele P.1 do P.3'!D121/1440,"hh:mm")</f>
        <v>02:26</v>
      </c>
      <c r="E12" s="855" t="str">
        <f>TEXT('Tabele P.1 do P.3'!E121/1440,"hh:mm")</f>
        <v>02:14</v>
      </c>
      <c r="F12" s="856"/>
      <c r="G12" s="855" t="str">
        <f>TEXT('Tabele P.1 do P.3'!G121/1440,"hh:mm")</f>
        <v>00:50</v>
      </c>
      <c r="H12" s="855" t="str">
        <f>TEXT('Tabele P.1 do P.3'!H121/1440,"hh:mm")</f>
        <v>00:59</v>
      </c>
      <c r="I12" s="855" t="str">
        <f>TEXT('Tabele P.1 do P.3'!I121/1440,"hh:mm")</f>
        <v>00:53</v>
      </c>
    </row>
    <row r="13" spans="1:9" ht="15" customHeight="1" x14ac:dyDescent="0.25">
      <c r="A13" s="1598" t="s">
        <v>69</v>
      </c>
      <c r="B13" s="1599"/>
      <c r="C13" s="855" t="str">
        <f>TEXT('Tabele P.1 do P.3'!C122/1440,"hh:mm")</f>
        <v>01:05</v>
      </c>
      <c r="D13" s="855" t="str">
        <f>TEXT('Tabele P.1 do P.3'!D122/1440,"hh:mm")</f>
        <v>01:13</v>
      </c>
      <c r="E13" s="855" t="str">
        <f>TEXT('Tabele P.1 do P.3'!E122/1440,"hh:mm")</f>
        <v>01:07</v>
      </c>
      <c r="F13" s="856"/>
      <c r="G13" s="855" t="str">
        <f>TEXT('Tabele P.1 do P.3'!G122/1440,"hh:mm")</f>
        <v>01:07</v>
      </c>
      <c r="H13" s="855" t="str">
        <f>TEXT('Tabele P.1 do P.3'!H122/1440,"hh:mm")</f>
        <v>01:14</v>
      </c>
      <c r="I13" s="855" t="str">
        <f>TEXT('Tabele P.1 do P.3'!I122/1440,"hh:mm")</f>
        <v>01:09</v>
      </c>
    </row>
    <row r="14" spans="1:9" ht="15" customHeight="1" x14ac:dyDescent="0.25">
      <c r="A14" s="1598" t="s">
        <v>70</v>
      </c>
      <c r="B14" s="1599"/>
      <c r="C14" s="855" t="str">
        <f>TEXT('Tabele P.1 do P.3'!C123/1440,"hh:mm")</f>
        <v>00:52</v>
      </c>
      <c r="D14" s="855" t="str">
        <f>TEXT('Tabele P.1 do P.3'!D123/1440,"hh:mm")</f>
        <v>00:54</v>
      </c>
      <c r="E14" s="855" t="str">
        <f>TEXT('Tabele P.1 do P.3'!E123/1440,"hh:mm")</f>
        <v>00:53</v>
      </c>
      <c r="F14" s="856"/>
      <c r="G14" s="855" t="str">
        <f>TEXT('Tabele P.1 do P.3'!G123/1440,"hh:mm")</f>
        <v>00:26</v>
      </c>
      <c r="H14" s="855" t="str">
        <f>TEXT('Tabele P.1 do P.3'!H123/1440,"hh:mm")</f>
        <v>00:25</v>
      </c>
      <c r="I14" s="855" t="str">
        <f>TEXT('Tabele P.1 do P.3'!I123/1440,"hh:mm")</f>
        <v>00:26</v>
      </c>
    </row>
    <row r="15" spans="1:9" ht="15" customHeight="1" x14ac:dyDescent="0.25">
      <c r="A15" s="1598" t="s">
        <v>76</v>
      </c>
      <c r="B15" s="1599"/>
      <c r="C15" s="855" t="str">
        <f>TEXT('Tabele P.1 do P.3'!C124/1440,"hh:mm")</f>
        <v>01:23</v>
      </c>
      <c r="D15" s="855" t="str">
        <f>TEXT('Tabele P.1 do P.3'!D124/1440,"hh:mm")</f>
        <v>01:26</v>
      </c>
      <c r="E15" s="855" t="str">
        <f>TEXT('Tabele P.1 do P.3'!E124/1440,"hh:mm")</f>
        <v>01:24</v>
      </c>
      <c r="F15" s="856"/>
      <c r="G15" s="855" t="str">
        <f>TEXT('Tabele P.1 do P.3'!G124/1440,"hh:mm")</f>
        <v>01:59</v>
      </c>
      <c r="H15" s="855" t="str">
        <f>TEXT('Tabele P.1 do P.3'!H124/1440,"hh:mm")</f>
        <v>02:05</v>
      </c>
      <c r="I15" s="855" t="str">
        <f>TEXT('Tabele P.1 do P.3'!I124/1440,"hh:mm")</f>
        <v>02:01</v>
      </c>
    </row>
    <row r="16" spans="1:9" ht="15" customHeight="1" x14ac:dyDescent="0.25">
      <c r="A16" s="1598" t="s">
        <v>234</v>
      </c>
      <c r="B16" s="1599"/>
      <c r="C16" s="855" t="str">
        <f>TEXT('Tabele P.1 do P.3'!C125/1440,"hh:mm")</f>
        <v>00:45</v>
      </c>
      <c r="D16" s="855" t="str">
        <f>TEXT('Tabele P.1 do P.3'!D125/1440,"hh:mm")</f>
        <v>01:28</v>
      </c>
      <c r="E16" s="855" t="str">
        <f>TEXT('Tabele P.1 do P.3'!E125/1440,"hh:mm")</f>
        <v>01:02</v>
      </c>
      <c r="F16" s="856"/>
      <c r="G16" s="855" t="str">
        <f>TEXT('Tabele P.1 do P.3'!G125/1440,"hh:mm")</f>
        <v>01:38</v>
      </c>
      <c r="H16" s="855" t="str">
        <f>TEXT('Tabele P.1 do P.3'!H125/1440,"hh:mm")</f>
        <v>01:37</v>
      </c>
      <c r="I16" s="855" t="str">
        <f>TEXT('Tabele P.1 do P.3'!I125/1440,"hh:mm")</f>
        <v>01:38</v>
      </c>
    </row>
    <row r="17" spans="1:9" ht="15" customHeight="1" x14ac:dyDescent="0.25">
      <c r="A17" s="1598" t="s">
        <v>72</v>
      </c>
      <c r="B17" s="1599"/>
      <c r="C17" s="855" t="str">
        <f>TEXT('Tabele P.1 do P.3'!C126/1440,"hh:mm")</f>
        <v>00:38</v>
      </c>
      <c r="D17" s="855" t="str">
        <f>TEXT('Tabele P.1 do P.3'!D126/1440,"hh:mm")</f>
        <v>00:52</v>
      </c>
      <c r="E17" s="855" t="str">
        <f>TEXT('Tabele P.1 do P.3'!E126/1440,"hh:mm")</f>
        <v>00:41</v>
      </c>
      <c r="F17" s="856"/>
      <c r="G17" s="855" t="str">
        <f>TEXT('Tabele P.1 do P.3'!G126/1440,"hh:mm")</f>
        <v>00:38</v>
      </c>
      <c r="H17" s="855" t="str">
        <f>TEXT('Tabele P.1 do P.3'!H126/1440,"hh:mm")</f>
        <v>00:41</v>
      </c>
      <c r="I17" s="855" t="str">
        <f>TEXT('Tabele P.1 do P.3'!I126/1440,"hh:mm")</f>
        <v>00:39</v>
      </c>
    </row>
    <row r="18" spans="1:9" ht="15" customHeight="1" x14ac:dyDescent="0.25">
      <c r="A18" s="1598" t="s">
        <v>235</v>
      </c>
      <c r="B18" s="1599"/>
      <c r="C18" s="855" t="str">
        <f>TEXT('Tabele P.1 do P.3'!C127/1440,"hh:mm")</f>
        <v>00:52</v>
      </c>
      <c r="D18" s="855" t="str">
        <f>TEXT('Tabele P.1 do P.3'!D127/1440,"hh:mm")</f>
        <v>00:25</v>
      </c>
      <c r="E18" s="855" t="str">
        <f>TEXT('Tabele P.1 do P.3'!E127/1440,"hh:mm")</f>
        <v>00:43</v>
      </c>
      <c r="F18" s="856"/>
      <c r="G18" s="855" t="str">
        <f>TEXT('Tabele P.1 do P.3'!G127/1440,"hh:mm")</f>
        <v>00:42</v>
      </c>
      <c r="H18" s="855" t="str">
        <f>TEXT('Tabele P.1 do P.3'!H127/1440,"hh:mm")</f>
        <v>00:39</v>
      </c>
      <c r="I18" s="855" t="str">
        <f>TEXT('Tabele P.1 do P.3'!I127/1440,"hh:mm")</f>
        <v>00:41</v>
      </c>
    </row>
    <row r="19" spans="1:9" ht="15" customHeight="1" x14ac:dyDescent="0.25">
      <c r="A19" s="1598" t="s">
        <v>71</v>
      </c>
      <c r="B19" s="1599"/>
      <c r="C19" s="855" t="str">
        <f>TEXT('Tabele P.1 do P.3'!C128/1440,"hh:mm")</f>
        <v>02:26</v>
      </c>
      <c r="D19" s="855" t="str">
        <f>TEXT('Tabele P.1 do P.3'!D128/1440,"hh:mm")</f>
        <v>02:25</v>
      </c>
      <c r="E19" s="855" t="str">
        <f>TEXT('Tabele P.1 do P.3'!E128/1440,"hh:mm")</f>
        <v>02:26</v>
      </c>
      <c r="F19" s="856"/>
      <c r="G19" s="855" t="str">
        <f>TEXT('Tabele P.1 do P.3'!G128/1440,"hh:mm")</f>
        <v>01:38</v>
      </c>
      <c r="H19" s="855" t="str">
        <f>TEXT('Tabele P.1 do P.3'!H128/1440,"hh:mm")</f>
        <v>01:40</v>
      </c>
      <c r="I19" s="855" t="str">
        <f>TEXT('Tabele P.1 do P.3'!I128/1440,"hh:mm")</f>
        <v>01:39</v>
      </c>
    </row>
    <row r="20" spans="1:9" ht="15" customHeight="1" x14ac:dyDescent="0.25">
      <c r="A20" s="1598" t="s">
        <v>236</v>
      </c>
      <c r="B20" s="1599"/>
      <c r="C20" s="855" t="str">
        <f>TEXT('Tabele P.1 do P.3'!C129/1440,"hh:mm")</f>
        <v>01:15</v>
      </c>
      <c r="D20" s="855" t="str">
        <f>TEXT('Tabele P.1 do P.3'!D129/1440,"hh:mm")</f>
        <v>01:10</v>
      </c>
      <c r="E20" s="855" t="str">
        <f>TEXT('Tabele P.1 do P.3'!E129/1440,"hh:mm")</f>
        <v>01:13</v>
      </c>
      <c r="F20" s="856"/>
      <c r="G20" s="855" t="str">
        <f>TEXT('Tabele P.1 do P.3'!G129/1440,"hh:mm")</f>
        <v>00:57</v>
      </c>
      <c r="H20" s="855" t="str">
        <f>TEXT('Tabele P.1 do P.3'!H129/1440,"hh:mm")</f>
        <v>01:25</v>
      </c>
      <c r="I20" s="855" t="str">
        <f>TEXT('Tabele P.1 do P.3'!I129/1440,"hh:mm")</f>
        <v>01:03</v>
      </c>
    </row>
    <row r="21" spans="1:9" ht="15" customHeight="1" x14ac:dyDescent="0.25">
      <c r="A21" s="1598" t="s">
        <v>651</v>
      </c>
      <c r="B21" s="1599"/>
      <c r="C21" s="855" t="str">
        <f>TEXT('Tabele P.1 do P.3'!C130/1440,"hh:mm")</f>
        <v>02:40</v>
      </c>
      <c r="D21" s="855" t="str">
        <f>TEXT('Tabele P.1 do P.3'!D130/1440,"hh:mm")</f>
        <v>01:29</v>
      </c>
      <c r="E21" s="855" t="str">
        <f>TEXT('Tabele P.1 do P.3'!E130/1440,"hh:mm")</f>
        <v>02:00</v>
      </c>
      <c r="F21" s="856"/>
      <c r="G21" s="855" t="str">
        <f>TEXT('Tabele P.1 do P.3'!G130/1440,"hh:mm")</f>
        <v>01:13</v>
      </c>
      <c r="H21" s="855" t="str">
        <f>TEXT('Tabele P.1 do P.3'!H130/1440,"hh:mm")</f>
        <v>03:40</v>
      </c>
      <c r="I21" s="855" t="str">
        <f>TEXT('Tabele P.1 do P.3'!I130/1440,"hh:mm")</f>
        <v>02:01</v>
      </c>
    </row>
    <row r="22" spans="1:9" ht="15" customHeight="1" x14ac:dyDescent="0.25">
      <c r="A22" s="1598" t="s">
        <v>73</v>
      </c>
      <c r="B22" s="1599"/>
      <c r="C22" s="855" t="str">
        <f>TEXT('Tabele P.1 do P.3'!C131/1440,"hh:mm")</f>
        <v>00:38</v>
      </c>
      <c r="D22" s="855" t="str">
        <f>TEXT('Tabele P.1 do P.3'!D131/1440,"hh:mm")</f>
        <v>00:39</v>
      </c>
      <c r="E22" s="855" t="str">
        <f>TEXT('Tabele P.1 do P.3'!E131/1440,"hh:mm")</f>
        <v>00:38</v>
      </c>
      <c r="F22" s="856"/>
      <c r="G22" s="855" t="str">
        <f>TEXT('Tabele P.1 do P.3'!G131/1440,"hh:mm")</f>
        <v>00:37</v>
      </c>
      <c r="H22" s="855" t="str">
        <f>TEXT('Tabele P.1 do P.3'!H131/1440,"hh:mm")</f>
        <v>00:42</v>
      </c>
      <c r="I22" s="855" t="str">
        <f>TEXT('Tabele P.1 do P.3'!I131/1440,"hh:mm")</f>
        <v>00:38</v>
      </c>
    </row>
    <row r="23" spans="1:9" ht="15" customHeight="1" x14ac:dyDescent="0.25">
      <c r="A23" s="1600" t="s">
        <v>115</v>
      </c>
      <c r="B23" s="1601"/>
      <c r="C23" s="855" t="str">
        <f>TEXT('Tabele P.1 do P.3'!C132/1440,"hh:mm")</f>
        <v>05:32</v>
      </c>
      <c r="D23" s="855" t="str">
        <f>TEXT('Tabele P.1 do P.3'!D132/1440,"hh:mm")</f>
        <v>03:41</v>
      </c>
      <c r="E23" s="855" t="str">
        <f>TEXT('Tabele P.1 do P.3'!E132/1440,"hh:mm")</f>
        <v>05:11</v>
      </c>
      <c r="F23" s="856"/>
      <c r="G23" s="855" t="str">
        <f>TEXT('Tabele P.1 do P.3'!G132/1440,"hh:mm")</f>
        <v>06:24</v>
      </c>
      <c r="H23" s="855" t="str">
        <f>TEXT('Tabele P.1 do P.3'!H132/1440,"hh:mm")</f>
        <v>03:00</v>
      </c>
      <c r="I23" s="855" t="str">
        <f>TEXT('Tabele P.1 do P.3'!I132/1440,"hh:mm")</f>
        <v>05:38</v>
      </c>
    </row>
    <row r="24" spans="1:9" ht="15" customHeight="1" x14ac:dyDescent="0.25">
      <c r="A24" s="1598" t="s">
        <v>652</v>
      </c>
      <c r="B24" s="1599"/>
      <c r="C24" s="855" t="str">
        <f>TEXT('Tabele P.1 do P.3'!C133/1440,"hh:mm")</f>
        <v>05:25</v>
      </c>
      <c r="D24" s="855" t="str">
        <f>TEXT('Tabele P.1 do P.3'!D133/1440,"hh:mm")</f>
        <v>03:44</v>
      </c>
      <c r="E24" s="855" t="str">
        <f>TEXT('Tabele P.1 do P.3'!E133/1440,"hh:mm")</f>
        <v>05:05</v>
      </c>
      <c r="F24" s="856"/>
      <c r="G24" s="855" t="str">
        <f>TEXT('Tabele P.1 do P.3'!G133/1440,"hh:mm")</f>
        <v>05:43</v>
      </c>
      <c r="H24" s="855" t="str">
        <f>TEXT('Tabele P.1 do P.3'!H133/1440,"hh:mm")</f>
        <v>02:42</v>
      </c>
      <c r="I24" s="855" t="str">
        <f>TEXT('Tabele P.1 do P.3'!I133/1440,"hh:mm")</f>
        <v>05:02</v>
      </c>
    </row>
    <row r="25" spans="1:9" ht="15" customHeight="1" x14ac:dyDescent="0.25">
      <c r="A25" s="1598" t="s">
        <v>653</v>
      </c>
      <c r="B25" s="1599"/>
      <c r="C25" s="855" t="str">
        <f>TEXT('Tabele P.1 do P.3'!C134/1440,"hh:mm")</f>
        <v>01:17</v>
      </c>
      <c r="D25" s="855" t="str">
        <f>TEXT('Tabele P.1 do P.3'!D134/1440,"hh:mm")</f>
        <v>02:08</v>
      </c>
      <c r="E25" s="855" t="str">
        <f>TEXT('Tabele P.1 do P.3'!E134/1440,"hh:mm")</f>
        <v>01:23</v>
      </c>
      <c r="F25" s="856"/>
      <c r="G25" s="855" t="str">
        <f>TEXT('Tabele P.1 do P.3'!G134/1440,"hh:mm")</f>
        <v>06:42</v>
      </c>
      <c r="H25" s="855" t="str">
        <f>TEXT('Tabele P.1 do P.3'!H134/1440,"hh:mm")</f>
        <v>07:50</v>
      </c>
      <c r="I25" s="855" t="str">
        <f>TEXT('Tabele P.1 do P.3'!I134/1440,"hh:mm")</f>
        <v>06:57</v>
      </c>
    </row>
    <row r="26" spans="1:9" ht="15" customHeight="1" x14ac:dyDescent="0.25">
      <c r="A26" s="1598" t="s">
        <v>654</v>
      </c>
      <c r="B26" s="1599"/>
      <c r="C26" s="855" t="str">
        <f>TEXT('Tabele P.1 do P.3'!C135/1440,"hh:mm")</f>
        <v>01:12</v>
      </c>
      <c r="D26" s="855" t="str">
        <f>TEXT('Tabele P.1 do P.3'!D135/1440,"hh:mm")</f>
        <v>01:02</v>
      </c>
      <c r="E26" s="855" t="str">
        <f>TEXT('Tabele P.1 do P.3'!E135/1440,"hh:mm")</f>
        <v>01:12</v>
      </c>
      <c r="F26" s="856"/>
      <c r="G26" s="855" t="str">
        <f>TEXT('Tabele P.1 do P.3'!G135/1440,"hh:mm")</f>
        <v>01:28</v>
      </c>
      <c r="H26" s="855" t="str">
        <f>TEXT('Tabele P.1 do P.3'!H135/1440,"hh:mm")</f>
        <v>01:06</v>
      </c>
      <c r="I26" s="855" t="str">
        <f>TEXT('Tabele P.1 do P.3'!I135/1440,"hh:mm")</f>
        <v>01:27</v>
      </c>
    </row>
    <row r="27" spans="1:9" ht="15" customHeight="1" x14ac:dyDescent="0.25">
      <c r="A27" s="1600" t="s">
        <v>116</v>
      </c>
      <c r="B27" s="1601"/>
      <c r="C27" s="855" t="str">
        <f>TEXT('Tabele P.1 do P.3'!C136/1440,"hh:mm")</f>
        <v>11:20</v>
      </c>
      <c r="D27" s="855" t="str">
        <f>TEXT('Tabele P.1 do P.3'!D136/1440,"hh:mm")</f>
        <v>12:07</v>
      </c>
      <c r="E27" s="855" t="str">
        <f>TEXT('Tabele P.1 do P.3'!E136/1440,"hh:mm")</f>
        <v>11:33</v>
      </c>
      <c r="F27" s="856"/>
      <c r="G27" s="855" t="str">
        <f>TEXT('Tabele P.1 do P.3'!G136/1440,"hh:mm")</f>
        <v>11:06</v>
      </c>
      <c r="H27" s="855" t="str">
        <f>TEXT('Tabele P.1 do P.3'!H136/1440,"hh:mm")</f>
        <v>12:03</v>
      </c>
      <c r="I27" s="855" t="str">
        <f>TEXT('Tabele P.1 do P.3'!I136/1440,"hh:mm")</f>
        <v>11:22</v>
      </c>
    </row>
    <row r="28" spans="1:9" ht="15" customHeight="1" x14ac:dyDescent="0.25">
      <c r="A28" s="1598" t="s">
        <v>410</v>
      </c>
      <c r="B28" s="1599"/>
      <c r="C28" s="855" t="str">
        <f>TEXT('Tabele P.1 do P.3'!C137/1440,"hh:mm")</f>
        <v>08:15</v>
      </c>
      <c r="D28" s="855" t="str">
        <f>TEXT('Tabele P.1 do P.3'!D137/1440,"hh:mm")</f>
        <v>08:46</v>
      </c>
      <c r="E28" s="855" t="str">
        <f>TEXT('Tabele P.1 do P.3'!E137/1440,"hh:mm")</f>
        <v>08:24</v>
      </c>
      <c r="F28" s="856"/>
      <c r="G28" s="855" t="str">
        <f>TEXT('Tabele P.1 do P.3'!G137/1440,"hh:mm")</f>
        <v>08:06</v>
      </c>
      <c r="H28" s="855" t="str">
        <f>TEXT('Tabele P.1 do P.3'!H137/1440,"hh:mm")</f>
        <v>08:48</v>
      </c>
      <c r="I28" s="855" t="str">
        <f>TEXT('Tabele P.1 do P.3'!I137/1440,"hh:mm")</f>
        <v>08:18</v>
      </c>
    </row>
    <row r="29" spans="1:9" ht="15" customHeight="1" x14ac:dyDescent="0.25">
      <c r="A29" s="1598" t="s">
        <v>655</v>
      </c>
      <c r="B29" s="1599"/>
      <c r="C29" s="855" t="str">
        <f>TEXT('Tabele P.1 do P.3'!C138/1440,"hh:mm")</f>
        <v>02:00</v>
      </c>
      <c r="D29" s="855" t="str">
        <f>TEXT('Tabele P.1 do P.3'!D138/1440,"hh:mm")</f>
        <v>02:17</v>
      </c>
      <c r="E29" s="855" t="str">
        <f>TEXT('Tabele P.1 do P.3'!E138/1440,"hh:mm")</f>
        <v>02:05</v>
      </c>
      <c r="F29" s="856"/>
      <c r="G29" s="855" t="str">
        <f>TEXT('Tabele P.1 do P.3'!G138/1440,"hh:mm")</f>
        <v>01:59</v>
      </c>
      <c r="H29" s="855" t="str">
        <f>TEXT('Tabele P.1 do P.3'!H138/1440,"hh:mm")</f>
        <v>02:14</v>
      </c>
      <c r="I29" s="855" t="str">
        <f>TEXT('Tabele P.1 do P.3'!I138/1440,"hh:mm")</f>
        <v>02:03</v>
      </c>
    </row>
    <row r="30" spans="1:9" ht="15" customHeight="1" x14ac:dyDescent="0.25">
      <c r="A30" s="1598" t="s">
        <v>656</v>
      </c>
      <c r="B30" s="1599"/>
      <c r="C30" s="855" t="str">
        <f>TEXT('Tabele P.1 do P.3'!C139/1440,"hh:mm")</f>
        <v>01:04</v>
      </c>
      <c r="D30" s="855" t="str">
        <f>TEXT('Tabele P.1 do P.3'!D139/1440,"hh:mm")</f>
        <v>01:04</v>
      </c>
      <c r="E30" s="855" t="str">
        <f>TEXT('Tabele P.1 do P.3'!E139/1440,"hh:mm")</f>
        <v>01:04</v>
      </c>
      <c r="F30" s="856"/>
      <c r="G30" s="855" t="str">
        <f>TEXT('Tabele P.1 do P.3'!G139/1440,"hh:mm")</f>
        <v>01:00</v>
      </c>
      <c r="H30" s="855" t="str">
        <f>TEXT('Tabele P.1 do P.3'!H139/1440,"hh:mm")</f>
        <v>01:01</v>
      </c>
      <c r="I30" s="855" t="str">
        <f>TEXT('Tabele P.1 do P.3'!I139/1440,"hh:mm")</f>
        <v>01:00</v>
      </c>
    </row>
    <row r="31" spans="1:9" ht="15" customHeight="1" x14ac:dyDescent="0.25">
      <c r="A31" s="1598" t="s">
        <v>657</v>
      </c>
      <c r="B31" s="1599"/>
      <c r="C31" s="855" t="str">
        <f>TEXT('Tabele P.1 do P.3'!C140/1440,"hh:mm")</f>
        <v>00:36</v>
      </c>
      <c r="D31" s="855" t="str">
        <f>TEXT('Tabele P.1 do P.3'!D140/1440,"hh:mm")</f>
        <v>00:44</v>
      </c>
      <c r="E31" s="855" t="str">
        <f>TEXT('Tabele P.1 do P.3'!E140/1440,"hh:mm")</f>
        <v>00:37</v>
      </c>
      <c r="F31" s="856"/>
      <c r="G31" s="855" t="str">
        <f>TEXT('Tabele P.1 do P.3'!G140/1440,"hh:mm")</f>
        <v>00:42</v>
      </c>
      <c r="H31" s="855" t="str">
        <f>TEXT('Tabele P.1 do P.3'!H140/1440,"hh:mm")</f>
        <v>00:50</v>
      </c>
      <c r="I31" s="855" t="str">
        <f>TEXT('Tabele P.1 do P.3'!I140/1440,"hh:mm")</f>
        <v>00:43</v>
      </c>
    </row>
    <row r="32" spans="1:9" ht="15" customHeight="1" x14ac:dyDescent="0.25">
      <c r="A32" s="1600" t="s">
        <v>117</v>
      </c>
      <c r="B32" s="1601"/>
      <c r="C32" s="855" t="str">
        <f>TEXT('Tabele P.1 do P.3'!C141/1440,"hh:mm")</f>
        <v>05:12</v>
      </c>
      <c r="D32" s="855" t="str">
        <f>TEXT('Tabele P.1 do P.3'!D141/1440,"hh:mm")</f>
        <v>06:16</v>
      </c>
      <c r="E32" s="855" t="str">
        <f>TEXT('Tabele P.1 do P.3'!E141/1440,"hh:mm")</f>
        <v>05:30</v>
      </c>
      <c r="F32" s="856"/>
      <c r="G32" s="855" t="str">
        <f>TEXT('Tabele P.1 do P.3'!G141/1440,"hh:mm")</f>
        <v>05:46</v>
      </c>
      <c r="H32" s="855" t="str">
        <f>TEXT('Tabele P.1 do P.3'!H141/1440,"hh:mm")</f>
        <v>07:25</v>
      </c>
      <c r="I32" s="855" t="str">
        <f>TEXT('Tabele P.1 do P.3'!I141/1440,"hh:mm")</f>
        <v>06:14</v>
      </c>
    </row>
    <row r="33" spans="1:9" ht="15" customHeight="1" x14ac:dyDescent="0.25">
      <c r="A33" s="1598" t="s">
        <v>658</v>
      </c>
      <c r="B33" s="1599"/>
      <c r="C33" s="855" t="str">
        <f>TEXT('Tabele P.1 do P.3'!C142/1440,"hh:mm")</f>
        <v>04:04</v>
      </c>
      <c r="D33" s="855" t="str">
        <f>TEXT('Tabele P.1 do P.3'!D142/1440,"hh:mm")</f>
        <v>01:00</v>
      </c>
      <c r="E33" s="855" t="str">
        <f>TEXT('Tabele P.1 do P.3'!E142/1440,"hh:mm")</f>
        <v>03:51</v>
      </c>
      <c r="F33" s="856"/>
      <c r="G33" s="855" t="str">
        <f>TEXT('Tabele P.1 do P.3'!G142/1440,"hh:mm")</f>
        <v>00:00</v>
      </c>
      <c r="H33" s="855" t="str">
        <f>TEXT('Tabele P.1 do P.3'!H142/1440,"hh:mm")</f>
        <v>00:00</v>
      </c>
      <c r="I33" s="855" t="str">
        <f>TEXT('Tabele P.1 do P.3'!I142/1440,"hh:mm")</f>
        <v>00:00</v>
      </c>
    </row>
    <row r="34" spans="1:9" ht="15" customHeight="1" x14ac:dyDescent="0.25">
      <c r="A34" s="1598" t="s">
        <v>659</v>
      </c>
      <c r="B34" s="1599"/>
      <c r="C34" s="855" t="str">
        <f>TEXT('Tabele P.1 do P.3'!C143/1440,"hh:mm")</f>
        <v>02:54</v>
      </c>
      <c r="D34" s="855" t="str">
        <f>TEXT('Tabele P.1 do P.3'!D143/1440,"hh:mm")</f>
        <v>02:00</v>
      </c>
      <c r="E34" s="855" t="str">
        <f>TEXT('Tabele P.1 do P.3'!E143/1440,"hh:mm")</f>
        <v>02:37</v>
      </c>
      <c r="F34" s="856"/>
      <c r="G34" s="855" t="str">
        <f>TEXT('Tabele P.1 do P.3'!G143/1440,"hh:mm")</f>
        <v>02:41</v>
      </c>
      <c r="H34" s="855" t="str">
        <f>TEXT('Tabele P.1 do P.3'!H143/1440,"hh:mm")</f>
        <v>02:23</v>
      </c>
      <c r="I34" s="855" t="str">
        <f>TEXT('Tabele P.1 do P.3'!I143/1440,"hh:mm")</f>
        <v>02:36</v>
      </c>
    </row>
    <row r="35" spans="1:9" ht="15" customHeight="1" x14ac:dyDescent="0.25">
      <c r="A35" s="1598" t="s">
        <v>660</v>
      </c>
      <c r="B35" s="1599"/>
      <c r="C35" s="855" t="str">
        <f>TEXT('Tabele P.1 do P.3'!C144/1440,"hh:mm")</f>
        <v>01:03</v>
      </c>
      <c r="D35" s="855" t="str">
        <f>TEXT('Tabele P.1 do P.3'!D144/1440,"hh:mm")</f>
        <v>01:12</v>
      </c>
      <c r="E35" s="855" t="str">
        <f>TEXT('Tabele P.1 do P.3'!E144/1440,"hh:mm")</f>
        <v>01:07</v>
      </c>
      <c r="F35" s="856"/>
      <c r="G35" s="855" t="str">
        <f>TEXT('Tabele P.1 do P.3'!G144/1440,"hh:mm")</f>
        <v>01:13</v>
      </c>
      <c r="H35" s="855" t="str">
        <f>TEXT('Tabele P.1 do P.3'!H144/1440,"hh:mm")</f>
        <v>01:10</v>
      </c>
      <c r="I35" s="855" t="str">
        <f>TEXT('Tabele P.1 do P.3'!I144/1440,"hh:mm")</f>
        <v>01:11</v>
      </c>
    </row>
    <row r="36" spans="1:9" ht="15" customHeight="1" x14ac:dyDescent="0.25">
      <c r="A36" s="1598" t="s">
        <v>661</v>
      </c>
      <c r="B36" s="1599"/>
      <c r="C36" s="855" t="str">
        <f>TEXT('Tabele P.1 do P.3'!C145/1440,"hh:mm")</f>
        <v>01:23</v>
      </c>
      <c r="D36" s="855" t="str">
        <f>TEXT('Tabele P.1 do P.3'!D145/1440,"hh:mm")</f>
        <v>01:52</v>
      </c>
      <c r="E36" s="855" t="str">
        <f>TEXT('Tabele P.1 do P.3'!E145/1440,"hh:mm")</f>
        <v>01:32</v>
      </c>
      <c r="F36" s="856"/>
      <c r="G36" s="855" t="str">
        <f>TEXT('Tabele P.1 do P.3'!G145/1440,"hh:mm")</f>
        <v>01:25</v>
      </c>
      <c r="H36" s="855" t="str">
        <f>TEXT('Tabele P.1 do P.3'!H145/1440,"hh:mm")</f>
        <v>02:01</v>
      </c>
      <c r="I36" s="855" t="str">
        <f>TEXT('Tabele P.1 do P.3'!I145/1440,"hh:mm")</f>
        <v>01:36</v>
      </c>
    </row>
    <row r="37" spans="1:9" ht="15" customHeight="1" x14ac:dyDescent="0.25">
      <c r="A37" s="1598" t="s">
        <v>662</v>
      </c>
      <c r="B37" s="1599"/>
      <c r="C37" s="855" t="str">
        <f>TEXT('Tabele P.1 do P.3'!C146/1440,"hh:mm")</f>
        <v>01:53</v>
      </c>
      <c r="D37" s="855" t="str">
        <f>TEXT('Tabele P.1 do P.3'!D146/1440,"hh:mm")</f>
        <v>02:11</v>
      </c>
      <c r="E37" s="855" t="str">
        <f>TEXT('Tabele P.1 do P.3'!E146/1440,"hh:mm")</f>
        <v>02:00</v>
      </c>
      <c r="F37" s="856"/>
      <c r="G37" s="855" t="str">
        <f>TEXT('Tabele P.1 do P.3'!G146/1440,"hh:mm")</f>
        <v>02:13</v>
      </c>
      <c r="H37" s="855" t="str">
        <f>TEXT('Tabele P.1 do P.3'!H146/1440,"hh:mm")</f>
        <v>02:15</v>
      </c>
      <c r="I37" s="855" t="str">
        <f>TEXT('Tabele P.1 do P.3'!I146/1440,"hh:mm")</f>
        <v>02:14</v>
      </c>
    </row>
    <row r="38" spans="1:9" ht="15" customHeight="1" x14ac:dyDescent="0.25">
      <c r="A38" s="1598" t="s">
        <v>663</v>
      </c>
      <c r="B38" s="1599"/>
      <c r="C38" s="855" t="str">
        <f>TEXT('Tabele P.1 do P.3'!C147/1440,"hh:mm")</f>
        <v>01:31</v>
      </c>
      <c r="D38" s="855" t="str">
        <f>TEXT('Tabele P.1 do P.3'!D147/1440,"hh:mm")</f>
        <v>01:30</v>
      </c>
      <c r="E38" s="855" t="str">
        <f>TEXT('Tabele P.1 do P.3'!E147/1440,"hh:mm")</f>
        <v>01:31</v>
      </c>
      <c r="F38" s="856"/>
      <c r="G38" s="855" t="str">
        <f>TEXT('Tabele P.1 do P.3'!G147/1440,"hh:mm")</f>
        <v>01:30</v>
      </c>
      <c r="H38" s="855" t="str">
        <f>TEXT('Tabele P.1 do P.3'!H147/1440,"hh:mm")</f>
        <v>01:40</v>
      </c>
      <c r="I38" s="855" t="str">
        <f>TEXT('Tabele P.1 do P.3'!I147/1440,"hh:mm")</f>
        <v>01:33</v>
      </c>
    </row>
    <row r="39" spans="1:9" ht="15" customHeight="1" x14ac:dyDescent="0.25">
      <c r="A39" s="1598" t="s">
        <v>664</v>
      </c>
      <c r="B39" s="1599"/>
      <c r="C39" s="855" t="str">
        <f>TEXT('Tabele P.1 do P.3'!C148/1440,"hh:mm")</f>
        <v>01:25</v>
      </c>
      <c r="D39" s="855" t="str">
        <f>TEXT('Tabele P.1 do P.3'!D148/1440,"hh:mm")</f>
        <v>01:44</v>
      </c>
      <c r="E39" s="855" t="str">
        <f>TEXT('Tabele P.1 do P.3'!E148/1440,"hh:mm")</f>
        <v>01:31</v>
      </c>
      <c r="F39" s="856"/>
      <c r="G39" s="855" t="str">
        <f>TEXT('Tabele P.1 do P.3'!G148/1440,"hh:mm")</f>
        <v>01:31</v>
      </c>
      <c r="H39" s="855" t="str">
        <f>TEXT('Tabele P.1 do P.3'!H148/1440,"hh:mm")</f>
        <v>01:53</v>
      </c>
      <c r="I39" s="855" t="str">
        <f>TEXT('Tabele P.1 do P.3'!I148/1440,"hh:mm")</f>
        <v>01:39</v>
      </c>
    </row>
    <row r="40" spans="1:9" ht="15" customHeight="1" x14ac:dyDescent="0.25">
      <c r="A40" s="1598" t="s">
        <v>665</v>
      </c>
      <c r="B40" s="1599"/>
      <c r="C40" s="855" t="str">
        <f>TEXT('Tabele P.1 do P.3'!C149/1440,"hh:mm")</f>
        <v>02:20</v>
      </c>
      <c r="D40" s="855" t="str">
        <f>TEXT('Tabele P.1 do P.3'!D149/1440,"hh:mm")</f>
        <v>01:33</v>
      </c>
      <c r="E40" s="855" t="str">
        <f>TEXT('Tabele P.1 do P.3'!E149/1440,"hh:mm")</f>
        <v>01:50</v>
      </c>
      <c r="F40" s="856"/>
      <c r="G40" s="855" t="str">
        <f>TEXT('Tabele P.1 do P.3'!G149/1440,"hh:mm")</f>
        <v>04:18</v>
      </c>
      <c r="H40" s="855" t="str">
        <f>TEXT('Tabele P.1 do P.3'!H149/1440,"hh:mm")</f>
        <v>04:24</v>
      </c>
      <c r="I40" s="855" t="str">
        <f>TEXT('Tabele P.1 do P.3'!I149/1440,"hh:mm")</f>
        <v>04:20</v>
      </c>
    </row>
    <row r="41" spans="1:9" ht="15" customHeight="1" x14ac:dyDescent="0.25">
      <c r="A41" s="1598" t="s">
        <v>666</v>
      </c>
      <c r="B41" s="1599"/>
      <c r="C41" s="855" t="str">
        <f>TEXT('Tabele P.1 do P.3'!C150/1440,"hh:mm")</f>
        <v>01:30</v>
      </c>
      <c r="D41" s="855" t="str">
        <f>TEXT('Tabele P.1 do P.3'!D150/1440,"hh:mm")</f>
        <v>04:00</v>
      </c>
      <c r="E41" s="855" t="str">
        <f>TEXT('Tabele P.1 do P.3'!E150/1440,"hh:mm")</f>
        <v>01:38</v>
      </c>
      <c r="F41" s="856"/>
      <c r="G41" s="855" t="str">
        <f>TEXT('Tabele P.1 do P.3'!G150/1440,"hh:mm")</f>
        <v>00:36</v>
      </c>
      <c r="H41" s="855" t="str">
        <f>TEXT('Tabele P.1 do P.3'!H150/1440,"hh:mm")</f>
        <v>00:20</v>
      </c>
      <c r="I41" s="855" t="str">
        <f>TEXT('Tabele P.1 do P.3'!I150/1440,"hh:mm")</f>
        <v>00:27</v>
      </c>
    </row>
    <row r="42" spans="1:9" ht="15" customHeight="1" x14ac:dyDescent="0.25">
      <c r="A42" s="1598" t="s">
        <v>667</v>
      </c>
      <c r="B42" s="1599"/>
      <c r="C42" s="855" t="str">
        <f>TEXT('Tabele P.1 do P.3'!C151/1440,"hh:mm")</f>
        <v>01:35</v>
      </c>
      <c r="D42" s="855" t="str">
        <f>TEXT('Tabele P.1 do P.3'!D151/1440,"hh:mm")</f>
        <v>01:35</v>
      </c>
      <c r="E42" s="855" t="str">
        <f>TEXT('Tabele P.1 do P.3'!E151/1440,"hh:mm")</f>
        <v>01:35</v>
      </c>
      <c r="F42" s="856"/>
      <c r="G42" s="855" t="str">
        <f>TEXT('Tabele P.1 do P.3'!G151/1440,"hh:mm")</f>
        <v>02:46</v>
      </c>
      <c r="H42" s="855" t="str">
        <f>TEXT('Tabele P.1 do P.3'!H151/1440,"hh:mm")</f>
        <v>03:49</v>
      </c>
      <c r="I42" s="855" t="str">
        <f>TEXT('Tabele P.1 do P.3'!I151/1440,"hh:mm")</f>
        <v>03:04</v>
      </c>
    </row>
    <row r="43" spans="1:9" ht="15" customHeight="1" x14ac:dyDescent="0.25">
      <c r="A43" s="1598" t="s">
        <v>668</v>
      </c>
      <c r="B43" s="1599"/>
      <c r="C43" s="855" t="str">
        <f>TEXT('Tabele P.1 do P.3'!C152/1440,"hh:mm")</f>
        <v>01:19</v>
      </c>
      <c r="D43" s="855" t="str">
        <f>TEXT('Tabele P.1 do P.3'!D152/1440,"hh:mm")</f>
        <v>01:15</v>
      </c>
      <c r="E43" s="855" t="str">
        <f>TEXT('Tabele P.1 do P.3'!E152/1440,"hh:mm")</f>
        <v>01:18</v>
      </c>
      <c r="F43" s="856"/>
      <c r="G43" s="855" t="str">
        <f>TEXT('Tabele P.1 do P.3'!G152/1440,"hh:mm")</f>
        <v>01:37</v>
      </c>
      <c r="H43" s="855" t="str">
        <f>TEXT('Tabele P.1 do P.3'!H152/1440,"hh:mm")</f>
        <v>01:40</v>
      </c>
      <c r="I43" s="855" t="str">
        <f>TEXT('Tabele P.1 do P.3'!I152/1440,"hh:mm")</f>
        <v>01:38</v>
      </c>
    </row>
    <row r="44" spans="1:9" ht="15" customHeight="1" x14ac:dyDescent="0.25">
      <c r="A44" s="1598" t="s">
        <v>669</v>
      </c>
      <c r="B44" s="1599"/>
      <c r="C44" s="855" t="str">
        <f>TEXT('Tabele P.1 do P.3'!C153/1440,"hh:mm")</f>
        <v>01:05</v>
      </c>
      <c r="D44" s="855" t="str">
        <f>TEXT('Tabele P.1 do P.3'!D153/1440,"hh:mm")</f>
        <v>01:09</v>
      </c>
      <c r="E44" s="855" t="str">
        <f>TEXT('Tabele P.1 do P.3'!E153/1440,"hh:mm")</f>
        <v>01:07</v>
      </c>
      <c r="F44" s="856"/>
      <c r="G44" s="855" t="str">
        <f>TEXT('Tabele P.1 do P.3'!G153/1440,"hh:mm")</f>
        <v>01:49</v>
      </c>
      <c r="H44" s="855" t="str">
        <f>TEXT('Tabele P.1 do P.3'!H153/1440,"hh:mm")</f>
        <v>01:59</v>
      </c>
      <c r="I44" s="855" t="str">
        <f>TEXT('Tabele P.1 do P.3'!I153/1440,"hh:mm")</f>
        <v>01:52</v>
      </c>
    </row>
    <row r="45" spans="1:9" ht="15" customHeight="1" x14ac:dyDescent="0.25">
      <c r="A45" s="1598" t="s">
        <v>285</v>
      </c>
      <c r="B45" s="1599"/>
      <c r="C45" s="855" t="str">
        <f>TEXT('Tabele P.1 do P.3'!C154/1440,"hh:mm")</f>
        <v>01:16</v>
      </c>
      <c r="D45" s="855" t="str">
        <f>TEXT('Tabele P.1 do P.3'!D154/1440,"hh:mm")</f>
        <v>01:17</v>
      </c>
      <c r="E45" s="855" t="str">
        <f>TEXT('Tabele P.1 do P.3'!E154/1440,"hh:mm")</f>
        <v>01:16</v>
      </c>
      <c r="F45" s="856"/>
      <c r="G45" s="855" t="str">
        <f>TEXT('Tabele P.1 do P.3'!G154/1440,"hh:mm")</f>
        <v>01:03</v>
      </c>
      <c r="H45" s="855" t="str">
        <f>TEXT('Tabele P.1 do P.3'!H154/1440,"hh:mm")</f>
        <v>01:03</v>
      </c>
      <c r="I45" s="855" t="str">
        <f>TEXT('Tabele P.1 do P.3'!I154/1440,"hh:mm")</f>
        <v>01:03</v>
      </c>
    </row>
    <row r="46" spans="1:9" ht="15" customHeight="1" x14ac:dyDescent="0.25">
      <c r="A46" s="1598" t="s">
        <v>670</v>
      </c>
      <c r="B46" s="1599"/>
      <c r="C46" s="855" t="str">
        <f>TEXT('Tabele P.1 do P.3'!C155/1440,"hh:mm")</f>
        <v>02:43</v>
      </c>
      <c r="D46" s="855" t="str">
        <f>TEXT('Tabele P.1 do P.3'!D155/1440,"hh:mm")</f>
        <v>02:56</v>
      </c>
      <c r="E46" s="855" t="str">
        <f>TEXT('Tabele P.1 do P.3'!E155/1440,"hh:mm")</f>
        <v>02:47</v>
      </c>
      <c r="F46" s="856"/>
      <c r="G46" s="855" t="str">
        <f>TEXT('Tabele P.1 do P.3'!G155/1440,"hh:mm")</f>
        <v>02:52</v>
      </c>
      <c r="H46" s="855" t="str">
        <f>TEXT('Tabele P.1 do P.3'!H155/1440,"hh:mm")</f>
        <v>03:13</v>
      </c>
      <c r="I46" s="855" t="str">
        <f>TEXT('Tabele P.1 do P.3'!I155/1440,"hh:mm")</f>
        <v>02:58</v>
      </c>
    </row>
    <row r="47" spans="1:9" ht="15" customHeight="1" x14ac:dyDescent="0.25">
      <c r="A47" s="1598" t="s">
        <v>671</v>
      </c>
      <c r="B47" s="1599"/>
      <c r="C47" s="855" t="str">
        <f>TEXT('Tabele P.1 do P.3'!C156/1440,"hh:mm")</f>
        <v>00:45</v>
      </c>
      <c r="D47" s="855" t="str">
        <f>TEXT('Tabele P.1 do P.3'!D156/1440,"hh:mm")</f>
        <v>00:55</v>
      </c>
      <c r="E47" s="855" t="str">
        <f>TEXT('Tabele P.1 do P.3'!E156/1440,"hh:mm")</f>
        <v>00:49</v>
      </c>
      <c r="F47" s="856"/>
      <c r="G47" s="855" t="str">
        <f>TEXT('Tabele P.1 do P.3'!G156/1440,"hh:mm")</f>
        <v>00:48</v>
      </c>
      <c r="H47" s="855" t="str">
        <f>TEXT('Tabele P.1 do P.3'!H156/1440,"hh:mm")</f>
        <v>01:03</v>
      </c>
      <c r="I47" s="855" t="str">
        <f>TEXT('Tabele P.1 do P.3'!I156/1440,"hh:mm")</f>
        <v>00:53</v>
      </c>
    </row>
    <row r="48" spans="1:9" ht="15" customHeight="1" x14ac:dyDescent="0.25">
      <c r="A48" s="1598" t="s">
        <v>672</v>
      </c>
      <c r="B48" s="1599"/>
      <c r="C48" s="855" t="str">
        <f>TEXT('Tabele P.1 do P.3'!C157/1440,"hh:mm")</f>
        <v>00:38</v>
      </c>
      <c r="D48" s="855" t="str">
        <f>TEXT('Tabele P.1 do P.3'!D157/1440,"hh:mm")</f>
        <v>00:47</v>
      </c>
      <c r="E48" s="855" t="str">
        <f>TEXT('Tabele P.1 do P.3'!E157/1440,"hh:mm")</f>
        <v>00:41</v>
      </c>
      <c r="F48" s="856"/>
      <c r="G48" s="855" t="str">
        <f>TEXT('Tabele P.1 do P.3'!G157/1440,"hh:mm")</f>
        <v>00:46</v>
      </c>
      <c r="H48" s="855" t="str">
        <f>TEXT('Tabele P.1 do P.3'!H157/1440,"hh:mm")</f>
        <v>00:45</v>
      </c>
      <c r="I48" s="855" t="str">
        <f>TEXT('Tabele P.1 do P.3'!I157/1440,"hh:mm")</f>
        <v>00:46</v>
      </c>
    </row>
    <row r="49" spans="1:9" ht="15" customHeight="1" x14ac:dyDescent="0.25">
      <c r="A49" s="1598" t="s">
        <v>673</v>
      </c>
      <c r="B49" s="1599"/>
      <c r="C49" s="855" t="str">
        <f>TEXT('Tabele P.1 do P.3'!C158/1440,"hh:mm")</f>
        <v>00:38</v>
      </c>
      <c r="D49" s="855" t="str">
        <f>TEXT('Tabele P.1 do P.3'!D158/1440,"hh:mm")</f>
        <v>00:48</v>
      </c>
      <c r="E49" s="855" t="str">
        <f>TEXT('Tabele P.1 do P.3'!E158/1440,"hh:mm")</f>
        <v>00:42</v>
      </c>
      <c r="F49" s="856"/>
      <c r="G49" s="855" t="str">
        <f>TEXT('Tabele P.1 do P.3'!G158/1440,"hh:mm")</f>
        <v>00:38</v>
      </c>
      <c r="H49" s="855" t="str">
        <f>TEXT('Tabele P.1 do P.3'!H158/1440,"hh:mm")</f>
        <v>00:54</v>
      </c>
      <c r="I49" s="855" t="str">
        <f>TEXT('Tabele P.1 do P.3'!I158/1440,"hh:mm")</f>
        <v>00:44</v>
      </c>
    </row>
    <row r="50" spans="1:9" ht="15" customHeight="1" x14ac:dyDescent="0.25">
      <c r="A50" s="1598" t="s">
        <v>674</v>
      </c>
      <c r="B50" s="1599"/>
      <c r="C50" s="855" t="str">
        <f>TEXT('Tabele P.1 do P.3'!C159/1440,"hh:mm")</f>
        <v>00:32</v>
      </c>
      <c r="D50" s="855" t="str">
        <f>TEXT('Tabele P.1 do P.3'!D159/1440,"hh:mm")</f>
        <v>01:10</v>
      </c>
      <c r="E50" s="855" t="str">
        <f>TEXT('Tabele P.1 do P.3'!E159/1440,"hh:mm")</f>
        <v>00:49</v>
      </c>
      <c r="F50" s="856"/>
      <c r="G50" s="855" t="str">
        <f>TEXT('Tabele P.1 do P.3'!G159/1440,"hh:mm")</f>
        <v>00:37</v>
      </c>
      <c r="H50" s="855" t="str">
        <f>TEXT('Tabele P.1 do P.3'!H159/1440,"hh:mm")</f>
        <v>00:58</v>
      </c>
      <c r="I50" s="855" t="str">
        <f>TEXT('Tabele P.1 do P.3'!I159/1440,"hh:mm")</f>
        <v>00:45</v>
      </c>
    </row>
    <row r="51" spans="1:9" ht="15" customHeight="1" x14ac:dyDescent="0.25">
      <c r="A51" s="1598" t="s">
        <v>675</v>
      </c>
      <c r="B51" s="1599"/>
      <c r="C51" s="855" t="str">
        <f>TEXT('Tabele P.1 do P.3'!C160/1440,"hh:mm")</f>
        <v>01:59</v>
      </c>
      <c r="D51" s="855" t="str">
        <f>TEXT('Tabele P.1 do P.3'!D160/1440,"hh:mm")</f>
        <v>02:16</v>
      </c>
      <c r="E51" s="855" t="str">
        <f>TEXT('Tabele P.1 do P.3'!E160/1440,"hh:mm")</f>
        <v>02:11</v>
      </c>
      <c r="F51" s="856"/>
      <c r="G51" s="855" t="str">
        <f>TEXT('Tabele P.1 do P.3'!G160/1440,"hh:mm")</f>
        <v>02:11</v>
      </c>
      <c r="H51" s="855" t="str">
        <f>TEXT('Tabele P.1 do P.3'!H160/1440,"hh:mm")</f>
        <v>01:53</v>
      </c>
      <c r="I51" s="855" t="str">
        <f>TEXT('Tabele P.1 do P.3'!I160/1440,"hh:mm")</f>
        <v>01:59</v>
      </c>
    </row>
    <row r="52" spans="1:9" ht="15" customHeight="1" x14ac:dyDescent="0.25">
      <c r="A52" s="1600" t="s">
        <v>676</v>
      </c>
      <c r="B52" s="1601"/>
      <c r="C52" s="858" t="str">
        <f>TEXT('Tabele P.1 do P.3'!C161/1440,"hh:mm")</f>
        <v>00:27</v>
      </c>
      <c r="D52" s="858" t="str">
        <f>TEXT('Tabele P.1 do P.3'!D161/1440,"hh:mm")</f>
        <v>00:30</v>
      </c>
      <c r="E52" s="858" t="str">
        <f>TEXT('Tabele P.1 do P.3'!E161/1440,"hh:mm")</f>
        <v>00:28</v>
      </c>
      <c r="F52" s="856"/>
      <c r="G52" s="858" t="str">
        <f>TEXT('Tabele P.1 do P.3'!G161/1440,"hh:mm")</f>
        <v>00:33</v>
      </c>
      <c r="H52" s="858" t="str">
        <f>TEXT('Tabele P.1 do P.3'!H161/1440,"hh:mm")</f>
        <v>00:37</v>
      </c>
      <c r="I52" s="858" t="str">
        <f>TEXT('Tabele P.1 do P.3'!I161/1440,"hh:mm")</f>
        <v>00:34</v>
      </c>
    </row>
    <row r="53" spans="1:9" ht="15" customHeight="1" x14ac:dyDescent="0.25">
      <c r="A53" s="1615" t="s">
        <v>274</v>
      </c>
      <c r="B53" s="1615"/>
      <c r="C53" s="859">
        <v>1938</v>
      </c>
      <c r="D53" s="859">
        <v>1810</v>
      </c>
      <c r="E53" s="859">
        <v>3748</v>
      </c>
      <c r="F53" s="859"/>
      <c r="G53" s="859">
        <v>1742</v>
      </c>
      <c r="H53" s="859">
        <v>1625</v>
      </c>
      <c r="I53" s="860">
        <v>3367</v>
      </c>
    </row>
  </sheetData>
  <mergeCells count="52">
    <mergeCell ref="A12:B12"/>
    <mergeCell ref="A3:I3"/>
    <mergeCell ref="A4:I4"/>
    <mergeCell ref="A5:B6"/>
    <mergeCell ref="C5:E5"/>
    <mergeCell ref="G5:I5"/>
    <mergeCell ref="A7:B7"/>
    <mergeCell ref="A8:B8"/>
    <mergeCell ref="A9:B9"/>
    <mergeCell ref="A10:B10"/>
    <mergeCell ref="A11:B11"/>
    <mergeCell ref="A24:B24"/>
    <mergeCell ref="A13:B13"/>
    <mergeCell ref="A14:B14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36:B36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35:B35"/>
    <mergeCell ref="A48:B48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9:B49"/>
    <mergeCell ref="A50:B50"/>
    <mergeCell ref="A51:B51"/>
    <mergeCell ref="A52:B52"/>
    <mergeCell ref="A53:B53"/>
  </mergeCells>
  <pageMargins left="0.2" right="0.2" top="0.25" bottom="0.25" header="0.3" footer="0.3"/>
  <pageSetup paperSize="9" scale="77" fitToHeight="3" orientation="portrait" horizontalDpi="4294967295" verticalDpi="4294967295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Q33"/>
  <sheetViews>
    <sheetView workbookViewId="0">
      <selection activeCell="I2" sqref="I2"/>
    </sheetView>
  </sheetViews>
  <sheetFormatPr defaultRowHeight="15" x14ac:dyDescent="0.25"/>
  <sheetData>
    <row r="2" spans="1:1" ht="21" x14ac:dyDescent="0.35">
      <c r="A2" s="873" t="s">
        <v>681</v>
      </c>
    </row>
    <row r="3" spans="1:1" ht="13.5" customHeight="1" x14ac:dyDescent="0.35">
      <c r="A3" s="873"/>
    </row>
    <row r="33" spans="2:17" x14ac:dyDescent="0.25">
      <c r="B33" s="978" t="s">
        <v>682</v>
      </c>
      <c r="I33" s="978" t="s">
        <v>683</v>
      </c>
      <c r="Q33" s="978" t="s">
        <v>684</v>
      </c>
    </row>
  </sheetData>
  <hyperlinks>
    <hyperlink ref="B33" r:id="rId1"/>
    <hyperlink ref="I33" r:id="rId2"/>
    <hyperlink ref="Q33" r:id="rId3"/>
  </hyperlinks>
  <pageMargins left="0.7" right="0.7" top="0.75" bottom="0.75" header="0.3" footer="0.3"/>
  <pageSetup paperSize="9" orientation="portrait" verticalDpi="0" r:id="rId4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9"/>
  <sheetViews>
    <sheetView zoomScaleNormal="100" workbookViewId="0">
      <selection activeCell="K1" sqref="K1"/>
    </sheetView>
  </sheetViews>
  <sheetFormatPr defaultRowHeight="15" x14ac:dyDescent="0.25"/>
  <cols>
    <col min="1" max="1" width="18" customWidth="1"/>
    <col min="2" max="2" width="12.140625" customWidth="1"/>
    <col min="3" max="3" width="10" customWidth="1"/>
    <col min="4" max="4" width="17" customWidth="1"/>
    <col min="5" max="5" width="12.7109375" customWidth="1"/>
    <col min="6" max="6" width="11.42578125" customWidth="1"/>
  </cols>
  <sheetData>
    <row r="1" spans="1:20" ht="29.25" customHeight="1" x14ac:dyDescent="0.25"/>
    <row r="2" spans="1:20" ht="39" customHeight="1" x14ac:dyDescent="0.25">
      <c r="A2" s="1229" t="s">
        <v>577</v>
      </c>
      <c r="B2" s="1229"/>
      <c r="C2" s="1229"/>
      <c r="D2" s="1229"/>
      <c r="E2" s="1229"/>
      <c r="F2" s="1229"/>
      <c r="G2" s="1229"/>
      <c r="H2" s="1229"/>
      <c r="I2" s="448"/>
      <c r="K2" s="1229" t="s">
        <v>695</v>
      </c>
      <c r="L2" s="1229"/>
      <c r="M2" s="1229"/>
      <c r="N2" s="1229"/>
      <c r="O2" s="1229"/>
      <c r="P2" s="1229"/>
      <c r="Q2" s="1229"/>
      <c r="R2" s="1229"/>
      <c r="S2" s="1229"/>
      <c r="T2" s="1229"/>
    </row>
    <row r="3" spans="1:20" ht="18" customHeight="1" x14ac:dyDescent="0.25">
      <c r="B3" s="1230" t="s">
        <v>576</v>
      </c>
      <c r="C3" s="1231"/>
      <c r="E3" s="1230" t="s">
        <v>694</v>
      </c>
      <c r="F3" s="1231"/>
    </row>
    <row r="4" spans="1:20" x14ac:dyDescent="0.25">
      <c r="A4" s="362"/>
      <c r="B4" s="363" t="s">
        <v>12</v>
      </c>
      <c r="C4" s="364" t="s">
        <v>11</v>
      </c>
      <c r="E4" s="363" t="s">
        <v>12</v>
      </c>
      <c r="F4" s="364" t="s">
        <v>11</v>
      </c>
    </row>
    <row r="5" spans="1:20" ht="40.5" customHeight="1" x14ac:dyDescent="0.25">
      <c r="A5" s="465" t="s">
        <v>291</v>
      </c>
      <c r="B5" s="466">
        <v>73.734941598537304</v>
      </c>
      <c r="C5" s="467">
        <v>188.12736399588329</v>
      </c>
      <c r="D5" s="465" t="s">
        <v>291</v>
      </c>
      <c r="E5" s="474">
        <v>1.2289156933089551</v>
      </c>
      <c r="F5" s="474">
        <v>3.1354560665980546</v>
      </c>
    </row>
    <row r="6" spans="1:20" ht="40.5" customHeight="1" x14ac:dyDescent="0.25">
      <c r="A6" s="468" t="s">
        <v>292</v>
      </c>
      <c r="B6" s="469">
        <v>8.593812861515989</v>
      </c>
      <c r="C6" s="470">
        <v>12.566290894978097</v>
      </c>
      <c r="D6" s="468" t="s">
        <v>292</v>
      </c>
      <c r="E6" s="475">
        <v>0.14323021435859981</v>
      </c>
      <c r="F6" s="475">
        <v>0.20943818158296829</v>
      </c>
    </row>
    <row r="7" spans="1:20" ht="40.5" customHeight="1" x14ac:dyDescent="0.25">
      <c r="A7" s="468" t="s">
        <v>301</v>
      </c>
      <c r="B7" s="469">
        <v>50.811506730450063</v>
      </c>
      <c r="C7" s="470">
        <v>69.952719343154754</v>
      </c>
      <c r="D7" s="468" t="s">
        <v>301</v>
      </c>
      <c r="E7" s="475">
        <v>0.846858445507501</v>
      </c>
      <c r="F7" s="475">
        <v>1.165878655719246</v>
      </c>
    </row>
    <row r="8" spans="1:20" ht="40.5" customHeight="1" x14ac:dyDescent="0.25">
      <c r="A8" s="468" t="s">
        <v>293</v>
      </c>
      <c r="B8" s="469">
        <v>108.83957936228877</v>
      </c>
      <c r="C8" s="470">
        <v>114.17001343531369</v>
      </c>
      <c r="D8" s="468" t="s">
        <v>293</v>
      </c>
      <c r="E8" s="475">
        <v>1.8139929893714795</v>
      </c>
      <c r="F8" s="475">
        <v>1.9028335572552282</v>
      </c>
    </row>
    <row r="9" spans="1:20" ht="40.5" customHeight="1" x14ac:dyDescent="0.25">
      <c r="A9" s="471" t="s">
        <v>294</v>
      </c>
      <c r="B9" s="472">
        <v>22.478336931396161</v>
      </c>
      <c r="C9" s="473">
        <v>121.94249880643723</v>
      </c>
      <c r="D9" s="471" t="s">
        <v>294</v>
      </c>
      <c r="E9" s="476">
        <v>0.3746389488566027</v>
      </c>
      <c r="F9" s="476">
        <v>2.0323749801072872</v>
      </c>
    </row>
  </sheetData>
  <mergeCells count="4">
    <mergeCell ref="A2:H2"/>
    <mergeCell ref="B3:C3"/>
    <mergeCell ref="E3:F3"/>
    <mergeCell ref="K2:T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10"/>
  <sheetViews>
    <sheetView zoomScaleNormal="100" workbookViewId="0">
      <selection activeCell="F1" sqref="F1"/>
    </sheetView>
  </sheetViews>
  <sheetFormatPr defaultRowHeight="15" x14ac:dyDescent="0.25"/>
  <cols>
    <col min="1" max="1" width="28.7109375" customWidth="1"/>
    <col min="2" max="4" width="12.42578125" customWidth="1"/>
  </cols>
  <sheetData>
    <row r="1" spans="1:15" ht="24.75" customHeight="1" x14ac:dyDescent="0.25"/>
    <row r="2" spans="1:15" ht="46.5" customHeight="1" x14ac:dyDescent="0.25">
      <c r="A2" s="1232" t="s">
        <v>573</v>
      </c>
      <c r="B2" s="1233"/>
      <c r="C2" s="1233"/>
      <c r="D2" s="1234"/>
      <c r="F2" s="1229" t="s">
        <v>575</v>
      </c>
      <c r="G2" s="1229"/>
      <c r="H2" s="1229"/>
      <c r="I2" s="1229"/>
      <c r="J2" s="1229"/>
      <c r="K2" s="1229"/>
      <c r="L2" s="1229"/>
      <c r="M2" s="1229"/>
      <c r="N2" s="1229"/>
      <c r="O2" s="1229"/>
    </row>
    <row r="3" spans="1:15" ht="11.25" customHeight="1" thickBot="1" x14ac:dyDescent="0.3">
      <c r="A3" s="462"/>
      <c r="B3" s="463"/>
      <c r="C3" s="463"/>
      <c r="D3" s="464"/>
    </row>
    <row r="4" spans="1:15" ht="15.95" customHeight="1" thickBot="1" x14ac:dyDescent="0.3">
      <c r="A4" s="1120"/>
      <c r="B4" s="956" t="s">
        <v>83</v>
      </c>
      <c r="C4" s="957" t="s">
        <v>12</v>
      </c>
      <c r="D4" s="958" t="s">
        <v>11</v>
      </c>
    </row>
    <row r="5" spans="1:15" ht="17.100000000000001" customHeight="1" x14ac:dyDescent="0.25">
      <c r="A5" s="959" t="s">
        <v>113</v>
      </c>
      <c r="B5" s="960">
        <v>3.1391966455254927</v>
      </c>
      <c r="C5" s="961">
        <v>3.9451722204718398</v>
      </c>
      <c r="D5" s="962">
        <v>2.3886482204934913</v>
      </c>
    </row>
    <row r="6" spans="1:15" ht="17.100000000000001" customHeight="1" x14ac:dyDescent="0.25">
      <c r="A6" s="963" t="s">
        <v>114</v>
      </c>
      <c r="B6" s="964">
        <v>3.1387876137305795</v>
      </c>
      <c r="C6" s="965">
        <v>2.0526517619618265</v>
      </c>
      <c r="D6" s="966">
        <v>4.150229620481368</v>
      </c>
    </row>
    <row r="7" spans="1:15" ht="17.100000000000001" customHeight="1" x14ac:dyDescent="0.25">
      <c r="A7" s="963" t="s">
        <v>115</v>
      </c>
      <c r="B7" s="964">
        <v>0.42436259064506221</v>
      </c>
      <c r="C7" s="965">
        <v>0.41376377242835355</v>
      </c>
      <c r="D7" s="966">
        <v>0.43423252537637441</v>
      </c>
    </row>
    <row r="8" spans="1:15" ht="17.100000000000001" customHeight="1" x14ac:dyDescent="0.25">
      <c r="A8" s="963" t="s">
        <v>116</v>
      </c>
      <c r="B8" s="964">
        <v>11.471261423802728</v>
      </c>
      <c r="C8" s="965">
        <v>11.373848817161685</v>
      </c>
      <c r="D8" s="966">
        <v>11.561974940149153</v>
      </c>
    </row>
    <row r="9" spans="1:15" ht="17.100000000000001" customHeight="1" x14ac:dyDescent="0.25">
      <c r="A9" s="963" t="s">
        <v>168</v>
      </c>
      <c r="B9" s="964">
        <v>5.8084752742357457</v>
      </c>
      <c r="C9" s="965">
        <v>6.1912104470973635</v>
      </c>
      <c r="D9" s="966">
        <v>5.4520608987569403</v>
      </c>
    </row>
    <row r="10" spans="1:15" ht="17.100000000000001" customHeight="1" thickBot="1" x14ac:dyDescent="0.3">
      <c r="A10" s="967" t="s">
        <v>118</v>
      </c>
      <c r="B10" s="968">
        <v>1.7916452060390615E-2</v>
      </c>
      <c r="C10" s="969">
        <v>2.3352980878957815E-2</v>
      </c>
      <c r="D10" s="970">
        <v>1.2853794742656901E-2</v>
      </c>
    </row>
  </sheetData>
  <mergeCells count="2">
    <mergeCell ref="A2:D2"/>
    <mergeCell ref="F2:O2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J11"/>
  <sheetViews>
    <sheetView workbookViewId="0"/>
  </sheetViews>
  <sheetFormatPr defaultRowHeight="15" x14ac:dyDescent="0.25"/>
  <cols>
    <col min="1" max="1" width="19.42578125" customWidth="1"/>
    <col min="2" max="2" width="10.42578125" customWidth="1"/>
    <col min="3" max="3" width="12.140625" customWidth="1"/>
    <col min="4" max="4" width="10.42578125" customWidth="1"/>
    <col min="5" max="5" width="9.85546875" customWidth="1"/>
    <col min="6" max="6" width="12.5703125" customWidth="1"/>
    <col min="7" max="8" width="10.42578125" customWidth="1"/>
    <col min="9" max="9" width="12.5703125" customWidth="1"/>
    <col min="10" max="10" width="10.42578125" customWidth="1"/>
  </cols>
  <sheetData>
    <row r="1" spans="1:10" ht="20.25" customHeight="1" x14ac:dyDescent="0.25"/>
    <row r="2" spans="1:10" ht="20.25" customHeight="1" x14ac:dyDescent="0.25">
      <c r="A2" s="1225" t="s">
        <v>593</v>
      </c>
      <c r="B2" s="1225"/>
      <c r="C2" s="1225"/>
      <c r="D2" s="1225"/>
      <c r="E2" s="1225"/>
      <c r="F2" s="1225"/>
      <c r="G2" s="1225"/>
      <c r="H2" s="1225"/>
      <c r="I2" s="1225"/>
      <c r="J2" s="1225"/>
    </row>
    <row r="3" spans="1:10" ht="10.5" customHeight="1" thickBot="1" x14ac:dyDescent="0.3"/>
    <row r="4" spans="1:10" x14ac:dyDescent="0.25">
      <c r="A4" s="1235"/>
      <c r="B4" s="1237" t="s">
        <v>60</v>
      </c>
      <c r="C4" s="1238"/>
      <c r="D4" s="1239"/>
      <c r="E4" s="1240" t="s">
        <v>59</v>
      </c>
      <c r="F4" s="1238"/>
      <c r="G4" s="1241"/>
      <c r="H4" s="1237" t="s">
        <v>122</v>
      </c>
      <c r="I4" s="1238"/>
      <c r="J4" s="1239"/>
    </row>
    <row r="5" spans="1:10" ht="18.75" customHeight="1" thickBot="1" x14ac:dyDescent="0.3">
      <c r="A5" s="1236"/>
      <c r="B5" s="461" t="s">
        <v>101</v>
      </c>
      <c r="C5" s="457" t="s">
        <v>102</v>
      </c>
      <c r="D5" s="458" t="s">
        <v>103</v>
      </c>
      <c r="E5" s="461" t="s">
        <v>101</v>
      </c>
      <c r="F5" s="457" t="s">
        <v>102</v>
      </c>
      <c r="G5" s="458" t="s">
        <v>103</v>
      </c>
      <c r="H5" s="461" t="s">
        <v>101</v>
      </c>
      <c r="I5" s="457" t="s">
        <v>102</v>
      </c>
      <c r="J5" s="458" t="s">
        <v>103</v>
      </c>
    </row>
    <row r="6" spans="1:10" ht="17.100000000000001" customHeight="1" x14ac:dyDescent="0.25">
      <c r="A6" s="456" t="s">
        <v>113</v>
      </c>
      <c r="B6" s="1050" t="s">
        <v>551</v>
      </c>
      <c r="C6" s="1051" t="s">
        <v>554</v>
      </c>
      <c r="D6" s="1052" t="s">
        <v>557</v>
      </c>
      <c r="E6" s="1050" t="s">
        <v>560</v>
      </c>
      <c r="F6" s="1051" t="s">
        <v>563</v>
      </c>
      <c r="G6" s="1052" t="s">
        <v>567</v>
      </c>
      <c r="H6" s="1050" t="s">
        <v>427</v>
      </c>
      <c r="I6" s="1051" t="s">
        <v>432</v>
      </c>
      <c r="J6" s="1052" t="s">
        <v>571</v>
      </c>
    </row>
    <row r="7" spans="1:10" ht="17.100000000000001" customHeight="1" x14ac:dyDescent="0.25">
      <c r="A7" s="456" t="s">
        <v>114</v>
      </c>
      <c r="B7" s="1035" t="s">
        <v>552</v>
      </c>
      <c r="C7" s="1036" t="s">
        <v>555</v>
      </c>
      <c r="D7" s="1037" t="s">
        <v>558</v>
      </c>
      <c r="E7" s="1035" t="s">
        <v>561</v>
      </c>
      <c r="F7" s="1036" t="s">
        <v>564</v>
      </c>
      <c r="G7" s="1037" t="s">
        <v>568</v>
      </c>
      <c r="H7" s="1035" t="s">
        <v>428</v>
      </c>
      <c r="I7" s="1036" t="s">
        <v>433</v>
      </c>
      <c r="J7" s="1037" t="s">
        <v>571</v>
      </c>
    </row>
    <row r="8" spans="1:10" ht="17.100000000000001" customHeight="1" x14ac:dyDescent="0.25">
      <c r="A8" s="459" t="s">
        <v>115</v>
      </c>
      <c r="B8" s="1035" t="s">
        <v>548</v>
      </c>
      <c r="C8" s="1036" t="s">
        <v>49</v>
      </c>
      <c r="D8" s="1037" t="s">
        <v>548</v>
      </c>
      <c r="E8" s="1035" t="s">
        <v>562</v>
      </c>
      <c r="F8" s="1036" t="s">
        <v>565</v>
      </c>
      <c r="G8" s="1037" t="s">
        <v>569</v>
      </c>
      <c r="H8" s="1035" t="s">
        <v>429</v>
      </c>
      <c r="I8" s="1036" t="s">
        <v>434</v>
      </c>
      <c r="J8" s="1037" t="s">
        <v>418</v>
      </c>
    </row>
    <row r="9" spans="1:10" ht="17.100000000000001" customHeight="1" x14ac:dyDescent="0.25">
      <c r="A9" s="456" t="s">
        <v>116</v>
      </c>
      <c r="B9" s="1035" t="s">
        <v>509</v>
      </c>
      <c r="C9" s="1036" t="s">
        <v>515</v>
      </c>
      <c r="D9" s="1037" t="s">
        <v>419</v>
      </c>
      <c r="E9" s="1035" t="s">
        <v>524</v>
      </c>
      <c r="F9" s="1036" t="s">
        <v>527</v>
      </c>
      <c r="G9" s="1037" t="s">
        <v>533</v>
      </c>
      <c r="H9" s="1035" t="s">
        <v>430</v>
      </c>
      <c r="I9" s="1036" t="s">
        <v>435</v>
      </c>
      <c r="J9" s="1037" t="s">
        <v>546</v>
      </c>
    </row>
    <row r="10" spans="1:10" ht="17.100000000000001" customHeight="1" x14ac:dyDescent="0.25">
      <c r="A10" s="456" t="s">
        <v>117</v>
      </c>
      <c r="B10" s="1035" t="s">
        <v>553</v>
      </c>
      <c r="C10" s="1036" t="s">
        <v>556</v>
      </c>
      <c r="D10" s="1037" t="s">
        <v>559</v>
      </c>
      <c r="E10" s="1035" t="s">
        <v>541</v>
      </c>
      <c r="F10" s="1036" t="s">
        <v>566</v>
      </c>
      <c r="G10" s="1037" t="s">
        <v>570</v>
      </c>
      <c r="H10" s="1035" t="s">
        <v>431</v>
      </c>
      <c r="I10" s="1036" t="s">
        <v>436</v>
      </c>
      <c r="J10" s="1037" t="s">
        <v>572</v>
      </c>
    </row>
    <row r="11" spans="1:10" ht="17.100000000000001" customHeight="1" thickBot="1" x14ac:dyDescent="0.3">
      <c r="A11" s="460" t="s">
        <v>118</v>
      </c>
      <c r="B11" s="1038" t="s">
        <v>5</v>
      </c>
      <c r="C11" s="1039" t="s">
        <v>421</v>
      </c>
      <c r="D11" s="1040" t="s">
        <v>421</v>
      </c>
      <c r="E11" s="1038" t="s">
        <v>5</v>
      </c>
      <c r="F11" s="1039" t="s">
        <v>421</v>
      </c>
      <c r="G11" s="1040" t="s">
        <v>421</v>
      </c>
      <c r="H11" s="1038" t="s">
        <v>5</v>
      </c>
      <c r="I11" s="1039" t="s">
        <v>421</v>
      </c>
      <c r="J11" s="1040" t="s">
        <v>421</v>
      </c>
    </row>
  </sheetData>
  <mergeCells count="5">
    <mergeCell ref="A4:A5"/>
    <mergeCell ref="B4:D4"/>
    <mergeCell ref="E4:G4"/>
    <mergeCell ref="H4:J4"/>
    <mergeCell ref="A2:J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2A2DC"/>
  </sheetPr>
  <dimension ref="A1:J11"/>
  <sheetViews>
    <sheetView workbookViewId="0"/>
  </sheetViews>
  <sheetFormatPr defaultRowHeight="15" x14ac:dyDescent="0.25"/>
  <cols>
    <col min="1" max="1" width="20.42578125" customWidth="1"/>
    <col min="2" max="2" width="12" customWidth="1"/>
    <col min="3" max="3" width="14.42578125" customWidth="1"/>
    <col min="4" max="5" width="12" customWidth="1"/>
    <col min="6" max="6" width="13.42578125" customWidth="1"/>
    <col min="7" max="8" width="12" customWidth="1"/>
    <col min="9" max="9" width="13" customWidth="1"/>
    <col min="10" max="10" width="12" customWidth="1"/>
  </cols>
  <sheetData>
    <row r="1" spans="1:10" ht="23.25" customHeight="1" x14ac:dyDescent="0.25"/>
    <row r="2" spans="1:10" ht="30" customHeight="1" x14ac:dyDescent="0.25">
      <c r="A2" s="1229" t="s">
        <v>550</v>
      </c>
      <c r="B2" s="1229"/>
      <c r="C2" s="1229"/>
      <c r="D2" s="1229"/>
      <c r="E2" s="1229"/>
      <c r="F2" s="1229"/>
      <c r="G2" s="1229"/>
      <c r="H2" s="1229"/>
      <c r="I2" s="1229"/>
      <c r="J2" s="1229"/>
    </row>
    <row r="3" spans="1:10" ht="12" customHeight="1" thickBot="1" x14ac:dyDescent="0.3"/>
    <row r="4" spans="1:10" x14ac:dyDescent="0.25">
      <c r="A4" s="1242"/>
      <c r="B4" s="1244" t="s">
        <v>60</v>
      </c>
      <c r="C4" s="1245"/>
      <c r="D4" s="1246"/>
      <c r="E4" s="1244" t="s">
        <v>59</v>
      </c>
      <c r="F4" s="1245"/>
      <c r="G4" s="1246"/>
      <c r="H4" s="1244" t="s">
        <v>122</v>
      </c>
      <c r="I4" s="1245"/>
      <c r="J4" s="1246"/>
    </row>
    <row r="5" spans="1:10" ht="15.75" thickBot="1" x14ac:dyDescent="0.3">
      <c r="A5" s="1243"/>
      <c r="B5" s="461" t="s">
        <v>101</v>
      </c>
      <c r="C5" s="457" t="s">
        <v>102</v>
      </c>
      <c r="D5" s="458" t="s">
        <v>103</v>
      </c>
      <c r="E5" s="461" t="s">
        <v>101</v>
      </c>
      <c r="F5" s="457" t="s">
        <v>102</v>
      </c>
      <c r="G5" s="458" t="s">
        <v>103</v>
      </c>
      <c r="H5" s="461" t="s">
        <v>101</v>
      </c>
      <c r="I5" s="457" t="s">
        <v>102</v>
      </c>
      <c r="J5" s="458" t="s">
        <v>103</v>
      </c>
    </row>
    <row r="6" spans="1:10" ht="17.100000000000001" customHeight="1" x14ac:dyDescent="0.25">
      <c r="A6" s="454" t="s">
        <v>113</v>
      </c>
      <c r="B6" s="1044" t="s">
        <v>123</v>
      </c>
      <c r="C6" s="1045" t="s">
        <v>124</v>
      </c>
      <c r="D6" s="1046" t="s">
        <v>125</v>
      </c>
      <c r="E6" s="1044" t="s">
        <v>126</v>
      </c>
      <c r="F6" s="1045" t="s">
        <v>127</v>
      </c>
      <c r="G6" s="1046" t="s">
        <v>128</v>
      </c>
      <c r="H6" s="1044" t="s">
        <v>129</v>
      </c>
      <c r="I6" s="1045" t="s">
        <v>130</v>
      </c>
      <c r="J6" s="1046" t="s">
        <v>131</v>
      </c>
    </row>
    <row r="7" spans="1:10" ht="17.100000000000001" customHeight="1" x14ac:dyDescent="0.25">
      <c r="A7" s="454" t="s">
        <v>114</v>
      </c>
      <c r="B7" s="1044" t="s">
        <v>132</v>
      </c>
      <c r="C7" s="1045" t="s">
        <v>133</v>
      </c>
      <c r="D7" s="1046" t="s">
        <v>134</v>
      </c>
      <c r="E7" s="1044" t="s">
        <v>135</v>
      </c>
      <c r="F7" s="1045" t="s">
        <v>136</v>
      </c>
      <c r="G7" s="1046" t="s">
        <v>137</v>
      </c>
      <c r="H7" s="1044" t="s">
        <v>138</v>
      </c>
      <c r="I7" s="1045" t="s">
        <v>139</v>
      </c>
      <c r="J7" s="1046" t="s">
        <v>140</v>
      </c>
    </row>
    <row r="8" spans="1:10" ht="17.100000000000001" customHeight="1" x14ac:dyDescent="0.25">
      <c r="A8" s="454" t="s">
        <v>115</v>
      </c>
      <c r="B8" s="1044" t="s">
        <v>141</v>
      </c>
      <c r="C8" s="1045" t="s">
        <v>142</v>
      </c>
      <c r="D8" s="1046" t="s">
        <v>143</v>
      </c>
      <c r="E8" s="1044" t="s">
        <v>144</v>
      </c>
      <c r="F8" s="1045" t="s">
        <v>145</v>
      </c>
      <c r="G8" s="1046" t="s">
        <v>144</v>
      </c>
      <c r="H8" s="1044" t="s">
        <v>146</v>
      </c>
      <c r="I8" s="1045" t="s">
        <v>147</v>
      </c>
      <c r="J8" s="1046" t="s">
        <v>148</v>
      </c>
    </row>
    <row r="9" spans="1:10" ht="17.100000000000001" customHeight="1" x14ac:dyDescent="0.25">
      <c r="A9" s="454" t="s">
        <v>116</v>
      </c>
      <c r="B9" s="1044" t="s">
        <v>149</v>
      </c>
      <c r="C9" s="1045" t="s">
        <v>149</v>
      </c>
      <c r="D9" s="1046" t="s">
        <v>149</v>
      </c>
      <c r="E9" s="1044" t="s">
        <v>149</v>
      </c>
      <c r="F9" s="1045" t="s">
        <v>149</v>
      </c>
      <c r="G9" s="1046" t="s">
        <v>149</v>
      </c>
      <c r="H9" s="1044" t="s">
        <v>149</v>
      </c>
      <c r="I9" s="1045" t="s">
        <v>149</v>
      </c>
      <c r="J9" s="1046" t="s">
        <v>149</v>
      </c>
    </row>
    <row r="10" spans="1:10" ht="17.100000000000001" customHeight="1" x14ac:dyDescent="0.25">
      <c r="A10" s="454" t="s">
        <v>117</v>
      </c>
      <c r="B10" s="1044" t="s">
        <v>150</v>
      </c>
      <c r="C10" s="1045" t="s">
        <v>151</v>
      </c>
      <c r="D10" s="1046" t="s">
        <v>152</v>
      </c>
      <c r="E10" s="1044" t="s">
        <v>153</v>
      </c>
      <c r="F10" s="1045" t="s">
        <v>154</v>
      </c>
      <c r="G10" s="1046" t="s">
        <v>155</v>
      </c>
      <c r="H10" s="1044" t="s">
        <v>156</v>
      </c>
      <c r="I10" s="1045" t="s">
        <v>157</v>
      </c>
      <c r="J10" s="1046" t="s">
        <v>156</v>
      </c>
    </row>
    <row r="11" spans="1:10" ht="17.100000000000001" customHeight="1" thickBot="1" x14ac:dyDescent="0.3">
      <c r="A11" s="455" t="s">
        <v>118</v>
      </c>
      <c r="B11" s="1047" t="s">
        <v>158</v>
      </c>
      <c r="C11" s="1048" t="s">
        <v>159</v>
      </c>
      <c r="D11" s="1049" t="s">
        <v>160</v>
      </c>
      <c r="E11" s="1047" t="s">
        <v>161</v>
      </c>
      <c r="F11" s="1048" t="s">
        <v>162</v>
      </c>
      <c r="G11" s="1049" t="s">
        <v>163</v>
      </c>
      <c r="H11" s="1047" t="s">
        <v>164</v>
      </c>
      <c r="I11" s="1048" t="s">
        <v>165</v>
      </c>
      <c r="J11" s="1049" t="s">
        <v>166</v>
      </c>
    </row>
  </sheetData>
  <mergeCells count="5">
    <mergeCell ref="A4:A5"/>
    <mergeCell ref="B4:D4"/>
    <mergeCell ref="E4:G4"/>
    <mergeCell ref="H4:J4"/>
    <mergeCell ref="A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ПОЧЕТНА СТРАНА</vt:lpstr>
      <vt:lpstr>САДРЖАЈ</vt:lpstr>
      <vt:lpstr>Таб А</vt:lpstr>
      <vt:lpstr>Таб Б</vt:lpstr>
      <vt:lpstr>Таб В</vt:lpstr>
      <vt:lpstr>Граф А</vt:lpstr>
      <vt:lpstr>Граф 1</vt:lpstr>
      <vt:lpstr>Таб 1</vt:lpstr>
      <vt:lpstr>Таб 2</vt:lpstr>
      <vt:lpstr>Таб 3</vt:lpstr>
      <vt:lpstr>Граф 2</vt:lpstr>
      <vt:lpstr>Таб 4</vt:lpstr>
      <vt:lpstr>Граф 3</vt:lpstr>
      <vt:lpstr>Таб 5</vt:lpstr>
      <vt:lpstr>Граф 4</vt:lpstr>
      <vt:lpstr>Таб 6</vt:lpstr>
      <vt:lpstr>Граф 5</vt:lpstr>
      <vt:lpstr>Таб 7</vt:lpstr>
      <vt:lpstr>Граф 6</vt:lpstr>
      <vt:lpstr>Темпогр 1</vt:lpstr>
      <vt:lpstr>Граф 7</vt:lpstr>
      <vt:lpstr>Граф 8</vt:lpstr>
      <vt:lpstr>Граф 9 </vt:lpstr>
      <vt:lpstr>Граф 10</vt:lpstr>
      <vt:lpstr>Граф 11</vt:lpstr>
      <vt:lpstr>Граф 12</vt:lpstr>
      <vt:lpstr>Граф 13</vt:lpstr>
      <vt:lpstr>Граф 14</vt:lpstr>
      <vt:lpstr>Граф 15</vt:lpstr>
      <vt:lpstr>Граф 16</vt:lpstr>
      <vt:lpstr>Таб 8</vt:lpstr>
      <vt:lpstr>Граф 17</vt:lpstr>
      <vt:lpstr>Граф 18</vt:lpstr>
      <vt:lpstr>Граф 19 0-6</vt:lpstr>
      <vt:lpstr>Граф 20 0-17</vt:lpstr>
      <vt:lpstr>Граф 21</vt:lpstr>
      <vt:lpstr>Граф 22</vt:lpstr>
      <vt:lpstr>Граф 23</vt:lpstr>
      <vt:lpstr>Граф 24</vt:lpstr>
      <vt:lpstr>Граф 25</vt:lpstr>
      <vt:lpstr>Граф 26</vt:lpstr>
      <vt:lpstr>Граф 27</vt:lpstr>
      <vt:lpstr>Граф 28 пол</vt:lpstr>
      <vt:lpstr>Граф 29 старост</vt:lpstr>
      <vt:lpstr>Граф 30</vt:lpstr>
      <vt:lpstr>Граф 31</vt:lpstr>
      <vt:lpstr>Граф 32</vt:lpstr>
      <vt:lpstr>Граф 33</vt:lpstr>
      <vt:lpstr>Таб 9</vt:lpstr>
      <vt:lpstr>Tabele P.1 do P.3</vt:lpstr>
      <vt:lpstr>Таб П.1.</vt:lpstr>
      <vt:lpstr>Таб П.2.</vt:lpstr>
      <vt:lpstr>Таб П.3.</vt:lpstr>
      <vt:lpstr>Публикације</vt:lpstr>
    </vt:vector>
  </TitlesOfParts>
  <Company>Републички завод за статистику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Коришћење времена у Републици Србији, 2021/2022</dc:title>
  <dc:subject>Табеле и графикони</dc:subject>
  <dc:creator>Републички завод за статистику</dc:creator>
  <cp:lastModifiedBy>Vladica Jankovic</cp:lastModifiedBy>
  <cp:lastPrinted>2024-12-12T06:30:26Z</cp:lastPrinted>
  <dcterms:created xsi:type="dcterms:W3CDTF">2011-08-01T14:22:18Z</dcterms:created>
  <dcterms:modified xsi:type="dcterms:W3CDTF">2024-12-23T07:55:03Z</dcterms:modified>
</cp:coreProperties>
</file>